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Kalkulation" sheetId="1" r:id="rId1"/>
  </sheets>
  <definedNames>
    <definedName name="_xlnm.Print_Area" localSheetId="0">Kalkulation!$A$1:$F$33,Kalkulation!$A$35:$F$57,Kalkulation!$H$35:$N$58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2" i="1" l="1"/>
  <c r="F21" i="1" s="1"/>
  <c r="Y36" i="1"/>
  <c r="F23" i="1" s="1"/>
  <c r="W18" i="1"/>
  <c r="X18" i="1" s="1"/>
  <c r="Y44" i="1" s="1"/>
  <c r="F22" i="1" s="1"/>
  <c r="W38" i="1"/>
  <c r="W39" i="1"/>
  <c r="W40" i="1" s="1"/>
  <c r="W37" i="1"/>
  <c r="W24" i="1"/>
  <c r="W25" i="1"/>
  <c r="W26" i="1" s="1"/>
  <c r="W27" i="1" s="1"/>
  <c r="W28" i="1" s="1"/>
  <c r="W29" i="1" s="1"/>
  <c r="W30" i="1" s="1"/>
  <c r="W31" i="1" s="1"/>
  <c r="W32" i="1" s="1"/>
  <c r="W23" i="1"/>
  <c r="B20" i="1" l="1"/>
  <c r="B21" i="1" s="1"/>
  <c r="S22" i="1"/>
  <c r="R22" i="1"/>
  <c r="B31" i="1"/>
  <c r="B33" i="1" s="1"/>
  <c r="C39" i="1" s="1"/>
  <c r="B30" i="1"/>
  <c r="B35" i="1" s="1"/>
  <c r="C30" i="1"/>
  <c r="E30" i="1"/>
  <c r="D30" i="1"/>
  <c r="C49" i="1" l="1"/>
  <c r="C46" i="1"/>
  <c r="C57" i="1"/>
  <c r="C41" i="1"/>
  <c r="C54" i="1"/>
  <c r="C53" i="1"/>
  <c r="C45" i="1"/>
  <c r="C38" i="1"/>
  <c r="C50" i="1"/>
  <c r="C42" i="1"/>
  <c r="C56" i="1"/>
  <c r="C52" i="1"/>
  <c r="C48" i="1"/>
  <c r="C44" i="1"/>
  <c r="C40" i="1"/>
  <c r="C55" i="1"/>
  <c r="C51" i="1"/>
  <c r="C47" i="1"/>
  <c r="C43" i="1"/>
  <c r="K19" i="1"/>
  <c r="M19" i="1" s="1"/>
  <c r="D43" i="1" s="1"/>
  <c r="K20" i="1"/>
  <c r="M20" i="1" s="1"/>
  <c r="K21" i="1"/>
  <c r="M21" i="1" s="1"/>
  <c r="D45" i="1" s="1"/>
  <c r="K22" i="1"/>
  <c r="M22" i="1" s="1"/>
  <c r="K23" i="1"/>
  <c r="M23" i="1" s="1"/>
  <c r="K24" i="1"/>
  <c r="M24" i="1" s="1"/>
  <c r="K25" i="1"/>
  <c r="M25" i="1" s="1"/>
  <c r="K26" i="1"/>
  <c r="M26" i="1" s="1"/>
  <c r="K27" i="1"/>
  <c r="M27" i="1" s="1"/>
  <c r="K28" i="1"/>
  <c r="M28" i="1" s="1"/>
  <c r="D52" i="1" s="1"/>
  <c r="K29" i="1"/>
  <c r="M29" i="1" s="1"/>
  <c r="D53" i="1" s="1"/>
  <c r="K30" i="1"/>
  <c r="M30" i="1" s="1"/>
  <c r="K31" i="1"/>
  <c r="K32" i="1"/>
  <c r="M32" i="1" s="1"/>
  <c r="K33" i="1"/>
  <c r="M33" i="1" s="1"/>
  <c r="K18" i="1"/>
  <c r="M18" i="1" s="1"/>
  <c r="D42" i="1" s="1"/>
  <c r="M31" i="1"/>
  <c r="D55" i="1" s="1"/>
  <c r="K15" i="1"/>
  <c r="M15" i="1" s="1"/>
  <c r="D39" i="1" s="1"/>
  <c r="K16" i="1"/>
  <c r="M16" i="1" s="1"/>
  <c r="D40" i="1" s="1"/>
  <c r="K17" i="1"/>
  <c r="M17" i="1" s="1"/>
  <c r="K14" i="1"/>
  <c r="M14" i="1" s="1"/>
  <c r="D49" i="1" l="1"/>
  <c r="D47" i="1"/>
  <c r="D44" i="1"/>
  <c r="D57" i="1"/>
  <c r="D56" i="1"/>
  <c r="D51" i="1"/>
  <c r="D48" i="1"/>
  <c r="D41" i="1"/>
  <c r="D54" i="1"/>
  <c r="D46" i="1"/>
  <c r="D38" i="1"/>
  <c r="D50" i="1"/>
  <c r="B22" i="1"/>
  <c r="E38" i="1" s="1"/>
  <c r="E39" i="1" s="1"/>
  <c r="E40" i="1" s="1"/>
  <c r="E41" i="1" s="1"/>
  <c r="E42" i="1" s="1"/>
  <c r="E43" i="1" s="1"/>
  <c r="E44" i="1" s="1"/>
  <c r="E45" i="1" s="1"/>
  <c r="E46" i="1" s="1"/>
  <c r="E47" i="1" s="1"/>
  <c r="E48" i="1" s="1"/>
  <c r="E49" i="1" s="1"/>
  <c r="E50" i="1" s="1"/>
  <c r="E51" i="1" s="1"/>
  <c r="E52" i="1" s="1"/>
  <c r="E53" i="1" s="1"/>
  <c r="E54" i="1" s="1"/>
  <c r="E55" i="1" s="1"/>
  <c r="E56" i="1" s="1"/>
  <c r="E57" i="1" s="1"/>
  <c r="C22" i="1"/>
  <c r="E31" i="1"/>
  <c r="D115" i="1" s="1"/>
  <c r="D31" i="1"/>
  <c r="D99" i="1" s="1"/>
  <c r="C31" i="1"/>
  <c r="D82" i="1" s="1"/>
  <c r="D79" i="1" l="1"/>
  <c r="D81" i="1"/>
  <c r="D76" i="1"/>
  <c r="D66" i="1"/>
  <c r="D63" i="1"/>
  <c r="F63" i="1" s="1"/>
  <c r="D77" i="1"/>
  <c r="D102" i="1"/>
  <c r="D97" i="1"/>
  <c r="D103" i="1"/>
  <c r="D104" i="1"/>
  <c r="D71" i="1"/>
  <c r="D67" i="1"/>
  <c r="D68" i="1"/>
  <c r="D80" i="1"/>
  <c r="D64" i="1"/>
  <c r="D75" i="1"/>
  <c r="D92" i="1"/>
  <c r="D73" i="1"/>
  <c r="D78" i="1"/>
  <c r="D72" i="1"/>
  <c r="F38" i="1"/>
  <c r="F39" i="1" s="1"/>
  <c r="F40" i="1" s="1"/>
  <c r="F41" i="1" s="1"/>
  <c r="F42" i="1" s="1"/>
  <c r="D122" i="1"/>
  <c r="D121" i="1"/>
  <c r="D133" i="1"/>
  <c r="D126" i="1"/>
  <c r="D117" i="1"/>
  <c r="D114" i="1"/>
  <c r="F114" i="1" s="1"/>
  <c r="D124" i="1"/>
  <c r="D129" i="1"/>
  <c r="D90" i="1"/>
  <c r="D101" i="1"/>
  <c r="D128" i="1"/>
  <c r="D89" i="1"/>
  <c r="D74" i="1"/>
  <c r="D116" i="1"/>
  <c r="D119" i="1"/>
  <c r="D131" i="1"/>
  <c r="D120" i="1"/>
  <c r="D118" i="1"/>
  <c r="D106" i="1"/>
  <c r="D95" i="1"/>
  <c r="D93" i="1"/>
  <c r="D94" i="1"/>
  <c r="D125" i="1"/>
  <c r="D107" i="1"/>
  <c r="D96" i="1"/>
  <c r="D100" i="1"/>
  <c r="D130" i="1"/>
  <c r="D91" i="1"/>
  <c r="D88" i="1"/>
  <c r="F88" i="1" s="1"/>
  <c r="D98" i="1"/>
  <c r="D132" i="1"/>
  <c r="D70" i="1"/>
  <c r="D65" i="1"/>
  <c r="D123" i="1"/>
  <c r="D127" i="1"/>
  <c r="D105" i="1"/>
  <c r="D69" i="1"/>
  <c r="D33" i="1"/>
  <c r="C33" i="1"/>
  <c r="E33" i="1"/>
  <c r="C115" i="1" l="1"/>
  <c r="C119" i="1"/>
  <c r="C123" i="1"/>
  <c r="C127" i="1"/>
  <c r="C131" i="1"/>
  <c r="C116" i="1"/>
  <c r="C120" i="1"/>
  <c r="C124" i="1"/>
  <c r="C128" i="1"/>
  <c r="C132" i="1"/>
  <c r="C117" i="1"/>
  <c r="C121" i="1"/>
  <c r="C125" i="1"/>
  <c r="C129" i="1"/>
  <c r="C133" i="1"/>
  <c r="C118" i="1"/>
  <c r="C122" i="1"/>
  <c r="C126" i="1"/>
  <c r="C130" i="1"/>
  <c r="C114" i="1"/>
  <c r="E114" i="1" s="1"/>
  <c r="C91" i="1"/>
  <c r="C95" i="1"/>
  <c r="C99" i="1"/>
  <c r="C103" i="1"/>
  <c r="C107" i="1"/>
  <c r="C92" i="1"/>
  <c r="C96" i="1"/>
  <c r="C100" i="1"/>
  <c r="C104" i="1"/>
  <c r="C89" i="1"/>
  <c r="C93" i="1"/>
  <c r="C97" i="1"/>
  <c r="C101" i="1"/>
  <c r="C105" i="1"/>
  <c r="C94" i="1"/>
  <c r="C102" i="1"/>
  <c r="C106" i="1"/>
  <c r="C88" i="1"/>
  <c r="E88" i="1" s="1"/>
  <c r="C90" i="1"/>
  <c r="C98" i="1"/>
  <c r="C67" i="1"/>
  <c r="C71" i="1"/>
  <c r="C75" i="1"/>
  <c r="C79" i="1"/>
  <c r="C63" i="1"/>
  <c r="E63" i="1" s="1"/>
  <c r="C68" i="1"/>
  <c r="C76" i="1"/>
  <c r="C72" i="1"/>
  <c r="C65" i="1"/>
  <c r="C69" i="1"/>
  <c r="C73" i="1"/>
  <c r="C77" i="1"/>
  <c r="C81" i="1"/>
  <c r="C66" i="1"/>
  <c r="C70" i="1"/>
  <c r="C74" i="1"/>
  <c r="C78" i="1"/>
  <c r="C82" i="1"/>
  <c r="C64" i="1"/>
  <c r="C80" i="1"/>
  <c r="F43" i="1"/>
  <c r="F115" i="1"/>
  <c r="F116" i="1" s="1"/>
  <c r="F117" i="1" s="1"/>
  <c r="F118" i="1" s="1"/>
  <c r="F119" i="1" s="1"/>
  <c r="F120" i="1" s="1"/>
  <c r="F121" i="1" s="1"/>
  <c r="F122" i="1" s="1"/>
  <c r="F123" i="1" s="1"/>
  <c r="F124" i="1" s="1"/>
  <c r="F125" i="1" s="1"/>
  <c r="F126" i="1" s="1"/>
  <c r="F127" i="1" s="1"/>
  <c r="F128" i="1" s="1"/>
  <c r="F129" i="1" s="1"/>
  <c r="F130" i="1" s="1"/>
  <c r="F131" i="1" s="1"/>
  <c r="F132" i="1" s="1"/>
  <c r="F133" i="1" s="1"/>
  <c r="F64" i="1"/>
  <c r="F65" i="1" s="1"/>
  <c r="F66" i="1" s="1"/>
  <c r="F67" i="1" s="1"/>
  <c r="F68" i="1" s="1"/>
  <c r="F69" i="1" s="1"/>
  <c r="F70" i="1" s="1"/>
  <c r="F71" i="1" s="1"/>
  <c r="F72" i="1" s="1"/>
  <c r="F73" i="1" s="1"/>
  <c r="F74" i="1" s="1"/>
  <c r="F75" i="1" s="1"/>
  <c r="F76" i="1" s="1"/>
  <c r="F77" i="1" s="1"/>
  <c r="F78" i="1" s="1"/>
  <c r="F79" i="1" s="1"/>
  <c r="F80" i="1" s="1"/>
  <c r="F81" i="1" s="1"/>
  <c r="F82" i="1" s="1"/>
  <c r="F89" i="1"/>
  <c r="F90" i="1" s="1"/>
  <c r="F91" i="1" s="1"/>
  <c r="F92" i="1" s="1"/>
  <c r="F93" i="1" s="1"/>
  <c r="F94" i="1" s="1"/>
  <c r="F95" i="1" s="1"/>
  <c r="F96" i="1" s="1"/>
  <c r="F97" i="1" s="1"/>
  <c r="F98" i="1" s="1"/>
  <c r="F99" i="1" s="1"/>
  <c r="F100" i="1" s="1"/>
  <c r="F101" i="1" s="1"/>
  <c r="F102" i="1" s="1"/>
  <c r="F103" i="1" s="1"/>
  <c r="F104" i="1" s="1"/>
  <c r="F105" i="1" s="1"/>
  <c r="F106" i="1" s="1"/>
  <c r="F107" i="1" s="1"/>
  <c r="F44" i="1" l="1"/>
  <c r="E115" i="1"/>
  <c r="E116" i="1" s="1"/>
  <c r="E117" i="1" s="1"/>
  <c r="E118" i="1" s="1"/>
  <c r="E119" i="1" s="1"/>
  <c r="E120" i="1" s="1"/>
  <c r="E121" i="1" s="1"/>
  <c r="E122" i="1" s="1"/>
  <c r="E123" i="1" s="1"/>
  <c r="E124" i="1" s="1"/>
  <c r="E125" i="1" s="1"/>
  <c r="E126" i="1" s="1"/>
  <c r="E127" i="1" s="1"/>
  <c r="E128" i="1" s="1"/>
  <c r="E129" i="1" s="1"/>
  <c r="E130" i="1" s="1"/>
  <c r="E131" i="1" s="1"/>
  <c r="E132" i="1" s="1"/>
  <c r="E133" i="1" s="1"/>
  <c r="E89" i="1"/>
  <c r="E90" i="1" s="1"/>
  <c r="E91" i="1" s="1"/>
  <c r="E92" i="1" s="1"/>
  <c r="E93" i="1" s="1"/>
  <c r="E94" i="1" s="1"/>
  <c r="E95" i="1" s="1"/>
  <c r="E96" i="1" s="1"/>
  <c r="E97" i="1" s="1"/>
  <c r="E98" i="1" s="1"/>
  <c r="E99" i="1" s="1"/>
  <c r="E100" i="1" s="1"/>
  <c r="E101" i="1" s="1"/>
  <c r="E102" i="1" s="1"/>
  <c r="E103" i="1" s="1"/>
  <c r="E104" i="1" s="1"/>
  <c r="E105" i="1" s="1"/>
  <c r="E106" i="1" s="1"/>
  <c r="E107" i="1" s="1"/>
  <c r="E64" i="1"/>
  <c r="E65" i="1" s="1"/>
  <c r="E66" i="1" s="1"/>
  <c r="E67" i="1" s="1"/>
  <c r="E68" i="1" s="1"/>
  <c r="E69" i="1" s="1"/>
  <c r="E70" i="1" s="1"/>
  <c r="E71" i="1" s="1"/>
  <c r="E72" i="1" s="1"/>
  <c r="E73" i="1" s="1"/>
  <c r="E74" i="1" s="1"/>
  <c r="E75" i="1" s="1"/>
  <c r="E76" i="1" s="1"/>
  <c r="E77" i="1" s="1"/>
  <c r="E78" i="1" s="1"/>
  <c r="E79" i="1" s="1"/>
  <c r="E80" i="1" s="1"/>
  <c r="E81" i="1" s="1"/>
  <c r="E82" i="1" s="1"/>
  <c r="F45" i="1" l="1"/>
  <c r="F46" i="1" l="1"/>
  <c r="F47" i="1" l="1"/>
  <c r="F48" i="1" l="1"/>
  <c r="F49" i="1" l="1"/>
  <c r="F50" i="1" l="1"/>
  <c r="F51" i="1" l="1"/>
  <c r="F52" i="1" s="1"/>
  <c r="F53" i="1" s="1"/>
  <c r="F54" i="1" s="1"/>
  <c r="F55" i="1" s="1"/>
  <c r="F56" i="1" s="1"/>
  <c r="F57" i="1" l="1"/>
</calcChain>
</file>

<file path=xl/sharedStrings.xml><?xml version="1.0" encoding="utf-8"?>
<sst xmlns="http://schemas.openxmlformats.org/spreadsheetml/2006/main" count="125" uniqueCount="85">
  <si>
    <t>Heizstrom</t>
  </si>
  <si>
    <t>Arbeitspreis</t>
  </si>
  <si>
    <t>Heizgas</t>
  </si>
  <si>
    <t>jenaGas Exakt24</t>
  </si>
  <si>
    <t>jenaturStrom Wärme24</t>
  </si>
  <si>
    <t>Musterhaus 1</t>
  </si>
  <si>
    <t>Musterhaus 2</t>
  </si>
  <si>
    <t>Musterhaus 3</t>
  </si>
  <si>
    <t>Wärmepumpe</t>
  </si>
  <si>
    <t>Biogas</t>
  </si>
  <si>
    <t>Biogasanteil</t>
  </si>
  <si>
    <t>Jahr</t>
  </si>
  <si>
    <t>CO2-Preis</t>
  </si>
  <si>
    <t>E</t>
  </si>
  <si>
    <t>C</t>
  </si>
  <si>
    <t>B</t>
  </si>
  <si>
    <t>teilsaniert</t>
  </si>
  <si>
    <t>angemessen saniert</t>
  </si>
  <si>
    <t>nicht saniert</t>
  </si>
  <si>
    <t>Gas</t>
  </si>
  <si>
    <t>Betriebskosten pro Jahr</t>
  </si>
  <si>
    <t>Betriebsjahr</t>
  </si>
  <si>
    <t>gesetzlich</t>
  </si>
  <si>
    <t>pro kWh</t>
  </si>
  <si>
    <t>geschätzter</t>
  </si>
  <si>
    <t>https://www.verbraucherzentrale.de/wissen/energie/heizen-und-warmwasser/klimapaket-hier-berechnen-sie-den-co2preis-ihrer-heizkosten-43806</t>
  </si>
  <si>
    <t>geschätzt</t>
  </si>
  <si>
    <t>https://www.finanztip.de/gaspreisvergleich/biogas/</t>
  </si>
  <si>
    <t>Liste Förderung</t>
  </si>
  <si>
    <t>Gesamtkosten</t>
  </si>
  <si>
    <t>? unbekannt ?</t>
  </si>
  <si>
    <t>Stadtwerke Jena</t>
  </si>
  <si>
    <t>Siehe Quelle 2</t>
  </si>
  <si>
    <t>Quelle 1:</t>
  </si>
  <si>
    <t>Arbeitspreis:</t>
  </si>
  <si>
    <t>Grundpreis:</t>
  </si>
  <si>
    <t>Anschaffungskosten:</t>
  </si>
  <si>
    <t>Gerätekosten:</t>
  </si>
  <si>
    <t>Wartungskosten pro Jahr:</t>
  </si>
  <si>
    <t>Betriebskosten pro Jahr (Pumpen etc.):</t>
  </si>
  <si>
    <t>zu beheizende Fläche:</t>
  </si>
  <si>
    <t>Wärmebedarf:</t>
  </si>
  <si>
    <t>Energieeffizienzklasse:</t>
  </si>
  <si>
    <t>Wärmebedarf gesamt pro Jahr:</t>
  </si>
  <si>
    <t>Jahresarbeitszahl der Wärmepumpe:</t>
  </si>
  <si>
    <t>Strombedarf pro Jahr:</t>
  </si>
  <si>
    <t>A+</t>
  </si>
  <si>
    <t>A</t>
  </si>
  <si>
    <t>D</t>
  </si>
  <si>
    <t>F</t>
  </si>
  <si>
    <t>G</t>
  </si>
  <si>
    <t>H</t>
  </si>
  <si>
    <t>Testhaus</t>
  </si>
  <si>
    <t>(siehe Quelle 1)</t>
  </si>
  <si>
    <t>Strom</t>
  </si>
  <si>
    <t>CO2-Emissionen Erdgas:</t>
  </si>
  <si>
    <t>Tarif-Vorschlag:</t>
  </si>
  <si>
    <t>Musterhaus 1 - nicht saniert - Gebäudeeffizienzklasse E - 160 kWh/qm a - Kosten über 20 Jahre</t>
  </si>
  <si>
    <t>Musterhaus 2 - teilweise saniert - Gebäudeeffizienzklasse C - 100 kWh/qm a - Kosten über 20 Jahre</t>
  </si>
  <si>
    <t>Musterhaus 3 - angemessen saniert - Gebäudeeffizienzklasse B - 75 kWh/qm a - Kosten über 20 Jahre</t>
  </si>
  <si>
    <t>Ausgangsdaten für Musterhaus 1, 2 und 3 - unveränderlich</t>
  </si>
  <si>
    <t>CO2-Preis Schätzung:</t>
  </si>
  <si>
    <t>Quelle 2 - Biogaspreis:</t>
  </si>
  <si>
    <t>Fördersatz:</t>
  </si>
  <si>
    <t>Förderbetrag:</t>
  </si>
  <si>
    <t>effektive Gerätekosten:</t>
  </si>
  <si>
    <t>Datum der Antragstellung:</t>
  </si>
  <si>
    <t>Haushaltsjahreseinkommen:</t>
  </si>
  <si>
    <t>minderjährige Kinder im Haushalt:</t>
  </si>
  <si>
    <t>ja</t>
  </si>
  <si>
    <t>nein</t>
  </si>
  <si>
    <t>Kinder</t>
  </si>
  <si>
    <t>Fördermaximum nach Datum</t>
  </si>
  <si>
    <t>Geschwindigkeitsbonus nach Datum</t>
  </si>
  <si>
    <t>Einkommensbonus</t>
  </si>
  <si>
    <t>Bonus %</t>
  </si>
  <si>
    <t>Fördermaximum</t>
  </si>
  <si>
    <t>Zuschlag</t>
  </si>
  <si>
    <t>Förderhöchstbetrag:</t>
  </si>
  <si>
    <t>Einkommensbonus:</t>
  </si>
  <si>
    <t>Klimageschwindigkeitsbonus:</t>
  </si>
  <si>
    <t>Grundförderung:</t>
  </si>
  <si>
    <t>keine Kinder im Haushalt</t>
  </si>
  <si>
    <t xml:space="preserve">Die Daten gelten für Antrag am 10.09.2027; Haushaltseinkommen 38.000 €; </t>
  </si>
  <si>
    <t>pro Jahr 5, ab 2031 8 € Erhöhung; da voraussichtlich ab 2030 marktabhängig ist dieser Wert eher konservativ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</si>
</sst>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43" formatCode="_-* #,##0.00_-;\-* #,##0.00_-;_-* &quot;-&quot;??_-;_-@_-"/>
    <numFmt numFmtId="164" formatCode="0.00\ &quot;€/kWh&quot;"/>
    <numFmt numFmtId="165" formatCode="_-* #,##0.00\ [$€-407]_-;\-* #,##0.00\ [$€-407]_-;_-* &quot;-&quot;??\ [$€-407]_-;_-@_-"/>
    <numFmt numFmtId="166" formatCode="0\ &quot;qm&quot;"/>
    <numFmt numFmtId="167" formatCode="0\ &quot;kWh/qm a&quot;"/>
    <numFmt numFmtId="168" formatCode="#,##0\ &quot;kWh&quot;"/>
    <numFmt numFmtId="169" formatCode="0\ &quot;g/kWh&quot;"/>
    <numFmt numFmtId="170" formatCode="0.00\ &quot;€/t&quot;"/>
    <numFmt numFmtId="171" formatCode="0.000000\ &quot;€/kWh&quot;"/>
    <numFmt numFmtId="172" formatCode="0\ &quot;%&quot;"/>
    <numFmt numFmtId="173" formatCode="_-* #,##0\ [$€-407]_-;\-* #,##0\ [$€-407]_-;_-* &quot;-&quot;??\ [$€-407]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5" tint="-0.249977111117893"/>
      <name val="Calibri"/>
      <family val="2"/>
      <scheme val="minor"/>
    </font>
    <font>
      <sz val="11"/>
      <color theme="4" tint="-0.249977111117893"/>
      <name val="Calibri"/>
      <family val="2"/>
      <scheme val="minor"/>
    </font>
    <font>
      <b/>
      <sz val="11"/>
      <color theme="4" tint="-0.249977111117893"/>
      <name val="Calibri"/>
      <family val="2"/>
      <scheme val="minor"/>
    </font>
    <font>
      <b/>
      <sz val="11"/>
      <color theme="5" tint="-0.249977111117893"/>
      <name val="Calibri"/>
      <family val="2"/>
      <scheme val="minor"/>
    </font>
    <font>
      <b/>
      <sz val="14"/>
      <color theme="1"/>
      <name val="Calibri"/>
      <family val="2"/>
      <scheme val="minor"/>
    </font>
    <font>
      <b/>
      <sz val="11"/>
      <color theme="9" tint="-0.499984740745262"/>
      <name val="Calibri"/>
      <family val="2"/>
      <scheme val="minor"/>
    </font>
    <font>
      <b/>
      <sz val="14"/>
      <color theme="4" tint="-0.249977111117893"/>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style="hair">
        <color theme="7" tint="-0.24994659260841701"/>
      </right>
      <top style="thin">
        <color theme="7" tint="-0.24994659260841701"/>
      </top>
      <bottom style="hair">
        <color theme="7" tint="-0.24994659260841701"/>
      </bottom>
      <diagonal/>
    </border>
    <border>
      <left style="hair">
        <color theme="7" tint="-0.24994659260841701"/>
      </left>
      <right style="hair">
        <color theme="7" tint="-0.24994659260841701"/>
      </right>
      <top style="thin">
        <color theme="7" tint="-0.24994659260841701"/>
      </top>
      <bottom style="hair">
        <color theme="7" tint="-0.24994659260841701"/>
      </bottom>
      <diagonal/>
    </border>
    <border>
      <left style="hair">
        <color theme="7" tint="-0.24994659260841701"/>
      </left>
      <right style="thin">
        <color theme="7" tint="-0.24994659260841701"/>
      </right>
      <top style="thin">
        <color theme="7" tint="-0.24994659260841701"/>
      </top>
      <bottom style="hair">
        <color theme="7" tint="-0.24994659260841701"/>
      </bottom>
      <diagonal/>
    </border>
    <border>
      <left style="thin">
        <color theme="7" tint="-0.24994659260841701"/>
      </left>
      <right style="hair">
        <color theme="7" tint="-0.24994659260841701"/>
      </right>
      <top style="hair">
        <color theme="7" tint="-0.24994659260841701"/>
      </top>
      <bottom style="hair">
        <color theme="7" tint="-0.24994659260841701"/>
      </bottom>
      <diagonal/>
    </border>
    <border>
      <left style="hair">
        <color theme="7" tint="-0.24994659260841701"/>
      </left>
      <right style="hair">
        <color theme="7" tint="-0.24994659260841701"/>
      </right>
      <top style="hair">
        <color theme="7" tint="-0.24994659260841701"/>
      </top>
      <bottom style="hair">
        <color theme="7" tint="-0.24994659260841701"/>
      </bottom>
      <diagonal/>
    </border>
    <border>
      <left style="hair">
        <color theme="7" tint="-0.24994659260841701"/>
      </left>
      <right style="thin">
        <color theme="7" tint="-0.24994659260841701"/>
      </right>
      <top style="hair">
        <color theme="7" tint="-0.24994659260841701"/>
      </top>
      <bottom style="hair">
        <color theme="7" tint="-0.24994659260841701"/>
      </bottom>
      <diagonal/>
    </border>
    <border>
      <left style="thin">
        <color theme="9" tint="-0.24994659260841701"/>
      </left>
      <right/>
      <top style="thin">
        <color theme="9" tint="-0.24994659260841701"/>
      </top>
      <bottom style="thin">
        <color theme="9" tint="-0.24994659260841701"/>
      </bottom>
      <diagonal/>
    </border>
    <border>
      <left style="thick">
        <color theme="9" tint="-0.499984740745262"/>
      </left>
      <right style="thick">
        <color theme="9" tint="-0.499984740745262"/>
      </right>
      <top/>
      <bottom/>
      <diagonal/>
    </border>
    <border>
      <left style="thick">
        <color theme="9" tint="-0.499984740745262"/>
      </left>
      <right style="thick">
        <color theme="9" tint="-0.499984740745262"/>
      </right>
      <top/>
      <bottom style="thick">
        <color theme="9" tint="-0.499984740745262"/>
      </bottom>
      <diagonal/>
    </border>
    <border>
      <left style="thick">
        <color theme="9" tint="-0.499984740745262"/>
      </left>
      <right style="thick">
        <color theme="9" tint="-0.499984740745262"/>
      </right>
      <top style="thick">
        <color theme="9" tint="-0.499984740745262"/>
      </top>
      <bottom style="medium">
        <color theme="9" tint="-0.499984740745262"/>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style="thin">
        <color theme="8" tint="-0.24994659260841701"/>
      </right>
      <top style="thin">
        <color theme="8" tint="-0.24994659260841701"/>
      </top>
      <bottom/>
      <diagonal/>
    </border>
    <border>
      <left/>
      <right style="thin">
        <color theme="8" tint="-0.24994659260841701"/>
      </right>
      <top/>
      <bottom/>
      <diagonal/>
    </border>
    <border>
      <left/>
      <right style="thin">
        <color theme="8" tint="-0.24994659260841701"/>
      </right>
      <top/>
      <bottom style="thin">
        <color theme="8" tint="-0.24994659260841701"/>
      </bottom>
      <diagonal/>
    </border>
    <border>
      <left style="medium">
        <color theme="8" tint="-0.24994659260841701"/>
      </left>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style="medium">
        <color theme="8" tint="-0.24994659260841701"/>
      </left>
      <right/>
      <top style="medium">
        <color theme="8" tint="-0.24994659260841701"/>
      </top>
      <bottom/>
      <diagonal/>
    </border>
    <border>
      <left/>
      <right/>
      <top style="medium">
        <color theme="8" tint="-0.24994659260841701"/>
      </top>
      <bottom/>
      <diagonal/>
    </border>
    <border>
      <left/>
      <right style="medium">
        <color theme="8" tint="-0.24994659260841701"/>
      </right>
      <top style="medium">
        <color theme="8" tint="-0.24994659260841701"/>
      </top>
      <bottom/>
      <diagonal/>
    </border>
    <border>
      <left style="medium">
        <color theme="8" tint="-0.24994659260841701"/>
      </left>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thin">
        <color theme="9" tint="-0.24994659260841701"/>
      </left>
      <right style="thin">
        <color theme="9" tint="-0.24994659260841701"/>
      </right>
      <top style="thin">
        <color theme="9" tint="-0.24994659260841701"/>
      </top>
      <bottom/>
      <diagonal/>
    </border>
    <border>
      <left style="thin">
        <color theme="7" tint="-0.24994659260841701"/>
      </left>
      <right style="hair">
        <color theme="7" tint="-0.24994659260841701"/>
      </right>
      <top style="hair">
        <color theme="7" tint="-0.24994659260841701"/>
      </top>
      <bottom/>
      <diagonal/>
    </border>
    <border>
      <left style="hair">
        <color theme="7" tint="-0.24994659260841701"/>
      </left>
      <right style="hair">
        <color theme="7" tint="-0.24994659260841701"/>
      </right>
      <top style="hair">
        <color theme="7" tint="-0.24994659260841701"/>
      </top>
      <bottom/>
      <diagonal/>
    </border>
    <border>
      <left style="hair">
        <color theme="7" tint="-0.24994659260841701"/>
      </left>
      <right style="thin">
        <color theme="7" tint="-0.24994659260841701"/>
      </right>
      <top style="hair">
        <color theme="7" tint="-0.24994659260841701"/>
      </top>
      <bottom/>
      <diagonal/>
    </border>
    <border>
      <left style="thin">
        <color theme="7" tint="-0.24994659260841701"/>
      </left>
      <right style="hair">
        <color theme="7" tint="-0.24994659260841701"/>
      </right>
      <top style="thin">
        <color theme="7" tint="-0.24994659260841701"/>
      </top>
      <bottom/>
      <diagonal/>
    </border>
    <border>
      <left style="hair">
        <color theme="7" tint="-0.24994659260841701"/>
      </left>
      <right style="hair">
        <color theme="7" tint="-0.24994659260841701"/>
      </right>
      <top style="thin">
        <color theme="7" tint="-0.24994659260841701"/>
      </top>
      <bottom/>
      <diagonal/>
    </border>
    <border>
      <left style="hair">
        <color theme="7" tint="-0.24994659260841701"/>
      </left>
      <right style="thin">
        <color theme="7" tint="-0.24994659260841701"/>
      </right>
      <top style="thin">
        <color theme="7" tint="-0.24994659260841701"/>
      </top>
      <bottom/>
      <diagonal/>
    </border>
    <border>
      <left style="thin">
        <color theme="7" tint="-0.24994659260841701"/>
      </left>
      <right style="hair">
        <color theme="7" tint="-0.24994659260841701"/>
      </right>
      <top/>
      <bottom style="thin">
        <color theme="7" tint="-0.24994659260841701"/>
      </bottom>
      <diagonal/>
    </border>
    <border>
      <left style="hair">
        <color theme="7" tint="-0.24994659260841701"/>
      </left>
      <right style="hair">
        <color theme="7" tint="-0.24994659260841701"/>
      </right>
      <top/>
      <bottom style="thin">
        <color theme="7" tint="-0.24994659260841701"/>
      </bottom>
      <diagonal/>
    </border>
    <border>
      <left style="hair">
        <color theme="7" tint="-0.24994659260841701"/>
      </left>
      <right style="thin">
        <color theme="7" tint="-0.24994659260841701"/>
      </right>
      <top/>
      <bottom style="thin">
        <color theme="7" tint="-0.2499465926084170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4">
    <xf numFmtId="0" fontId="0" fillId="0" borderId="0" xfId="0"/>
    <xf numFmtId="165" fontId="0" fillId="0" borderId="0" xfId="0" applyNumberFormat="1"/>
    <xf numFmtId="172" fontId="0" fillId="0" borderId="0" xfId="0" applyNumberFormat="1"/>
    <xf numFmtId="0" fontId="0" fillId="0" borderId="0" xfId="0" applyAlignment="1">
      <alignment horizontal="right" indent="1"/>
    </xf>
    <xf numFmtId="0" fontId="0" fillId="0" borderId="0" xfId="0" applyAlignment="1">
      <alignment horizontal="right"/>
    </xf>
    <xf numFmtId="0" fontId="0" fillId="0" borderId="0" xfId="0" applyAlignment="1">
      <alignment horizontal="center"/>
    </xf>
    <xf numFmtId="0" fontId="2" fillId="0" borderId="0" xfId="0" applyFont="1"/>
    <xf numFmtId="0" fontId="2" fillId="0" borderId="1" xfId="0" applyFont="1" applyBorder="1" applyAlignment="1">
      <alignment horizontal="center"/>
    </xf>
    <xf numFmtId="0" fontId="2" fillId="0" borderId="2"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2" borderId="7" xfId="0" applyFill="1" applyBorder="1" applyAlignment="1">
      <alignment horizontal="right" indent="1"/>
    </xf>
    <xf numFmtId="170" fontId="0" fillId="2" borderId="0" xfId="2" applyNumberFormat="1" applyFont="1" applyFill="1" applyBorder="1" applyAlignment="1">
      <alignment horizontal="right" indent="1"/>
    </xf>
    <xf numFmtId="171" fontId="0" fillId="2" borderId="0" xfId="0" applyNumberFormat="1" applyFill="1" applyBorder="1" applyAlignment="1">
      <alignment horizontal="right" indent="1"/>
    </xf>
    <xf numFmtId="172" fontId="0" fillId="2" borderId="0" xfId="0" applyNumberFormat="1" applyFill="1" applyBorder="1" applyAlignment="1">
      <alignment horizontal="right" indent="1"/>
    </xf>
    <xf numFmtId="171" fontId="0" fillId="2" borderId="8" xfId="0" applyNumberFormat="1" applyFill="1" applyBorder="1" applyAlignment="1">
      <alignment horizontal="right" indent="1"/>
    </xf>
    <xf numFmtId="0" fontId="0" fillId="0" borderId="7" xfId="0" applyBorder="1" applyAlignment="1">
      <alignment horizontal="right" indent="1"/>
    </xf>
    <xf numFmtId="170" fontId="0" fillId="0" borderId="0" xfId="2" applyNumberFormat="1" applyFont="1" applyBorder="1" applyAlignment="1">
      <alignment horizontal="right" indent="1"/>
    </xf>
    <xf numFmtId="171" fontId="0" fillId="0" borderId="0" xfId="0" applyNumberFormat="1" applyBorder="1" applyAlignment="1">
      <alignment horizontal="right" indent="1"/>
    </xf>
    <xf numFmtId="172" fontId="0" fillId="0" borderId="0" xfId="0" applyNumberFormat="1" applyBorder="1" applyAlignment="1">
      <alignment horizontal="right" indent="1"/>
    </xf>
    <xf numFmtId="171" fontId="0" fillId="0" borderId="8" xfId="0" applyNumberFormat="1" applyBorder="1" applyAlignment="1">
      <alignment horizontal="right" indent="1"/>
    </xf>
    <xf numFmtId="0" fontId="0" fillId="0" borderId="5" xfId="0" applyBorder="1" applyAlignment="1">
      <alignment horizontal="right" indent="1"/>
    </xf>
    <xf numFmtId="170" fontId="0" fillId="0" borderId="1" xfId="2" applyNumberFormat="1" applyFont="1" applyBorder="1" applyAlignment="1">
      <alignment horizontal="right" indent="1"/>
    </xf>
    <xf numFmtId="171" fontId="0" fillId="0" borderId="1" xfId="0" applyNumberFormat="1" applyBorder="1" applyAlignment="1">
      <alignment horizontal="right" indent="1"/>
    </xf>
    <xf numFmtId="172" fontId="0" fillId="0" borderId="1" xfId="0" applyNumberFormat="1" applyBorder="1" applyAlignment="1">
      <alignment horizontal="right" indent="1"/>
    </xf>
    <xf numFmtId="171" fontId="0" fillId="0" borderId="6" xfId="0" applyNumberFormat="1" applyBorder="1" applyAlignment="1">
      <alignment horizontal="right" indent="1"/>
    </xf>
    <xf numFmtId="164" fontId="0" fillId="3" borderId="9" xfId="0" applyNumberFormat="1" applyFill="1" applyBorder="1" applyAlignment="1" applyProtection="1">
      <alignment horizontal="right" indent="1"/>
      <protection locked="0"/>
    </xf>
    <xf numFmtId="165" fontId="0" fillId="3" borderId="9" xfId="0" applyNumberFormat="1" applyFill="1" applyBorder="1" applyProtection="1">
      <protection locked="0"/>
    </xf>
    <xf numFmtId="0" fontId="7" fillId="0" borderId="0" xfId="0" applyFont="1" applyAlignment="1">
      <alignment horizontal="left"/>
    </xf>
    <xf numFmtId="164" fontId="0" fillId="0" borderId="0" xfId="0" applyNumberFormat="1" applyFill="1" applyBorder="1" applyAlignment="1" applyProtection="1">
      <alignment horizontal="right" indent="1"/>
      <protection locked="0"/>
    </xf>
    <xf numFmtId="0" fontId="2" fillId="0" borderId="0" xfId="0" applyFont="1" applyAlignment="1">
      <alignment horizontal="center"/>
    </xf>
    <xf numFmtId="0" fontId="0" fillId="0" borderId="0" xfId="0" applyBorder="1" applyAlignment="1">
      <alignment horizontal="right" indent="1"/>
    </xf>
    <xf numFmtId="0" fontId="2" fillId="0" borderId="0" xfId="0" applyFont="1" applyAlignment="1">
      <alignment horizontal="right"/>
    </xf>
    <xf numFmtId="169" fontId="2" fillId="0" borderId="0" xfId="0" applyNumberFormat="1" applyFont="1" applyAlignment="1">
      <alignment horizontal="right" indent="1"/>
    </xf>
    <xf numFmtId="0" fontId="0" fillId="0" borderId="0" xfId="0" applyFill="1" applyBorder="1" applyAlignment="1">
      <alignment horizontal="right" indent="1"/>
    </xf>
    <xf numFmtId="164" fontId="0" fillId="3" borderId="19" xfId="0" applyNumberFormat="1" applyFill="1" applyBorder="1" applyAlignment="1" applyProtection="1">
      <alignment horizontal="right" indent="1"/>
      <protection locked="0"/>
    </xf>
    <xf numFmtId="0" fontId="0" fillId="0" borderId="20" xfId="0" applyBorder="1"/>
    <xf numFmtId="166" fontId="0" fillId="5" borderId="20" xfId="0" applyNumberFormat="1" applyFill="1" applyBorder="1" applyAlignment="1" applyProtection="1">
      <alignment horizontal="right" indent="1"/>
      <protection locked="0"/>
    </xf>
    <xf numFmtId="167" fontId="0" fillId="5" borderId="20" xfId="0" applyNumberFormat="1" applyFill="1" applyBorder="1" applyAlignment="1" applyProtection="1">
      <alignment horizontal="right" indent="1"/>
      <protection locked="0"/>
    </xf>
    <xf numFmtId="0" fontId="2" fillId="0" borderId="20" xfId="0" applyFont="1" applyFill="1" applyBorder="1" applyAlignment="1">
      <alignment horizontal="center"/>
    </xf>
    <xf numFmtId="168" fontId="0" fillId="0" borderId="20" xfId="1" applyNumberFormat="1" applyFont="1" applyFill="1" applyBorder="1" applyAlignment="1">
      <alignment horizontal="right" indent="1"/>
    </xf>
    <xf numFmtId="0" fontId="0" fillId="5" borderId="20" xfId="0" applyFill="1" applyBorder="1" applyAlignment="1" applyProtection="1">
      <alignment horizontal="right" indent="1"/>
      <protection locked="0"/>
    </xf>
    <xf numFmtId="168" fontId="0" fillId="0" borderId="21" xfId="1" applyNumberFormat="1" applyFont="1" applyFill="1" applyBorder="1" applyAlignment="1">
      <alignment horizontal="right" indent="1"/>
    </xf>
    <xf numFmtId="0" fontId="8" fillId="6" borderId="22" xfId="0" applyFont="1" applyFill="1" applyBorder="1" applyAlignment="1">
      <alignment horizontal="center"/>
    </xf>
    <xf numFmtId="0" fontId="2" fillId="7" borderId="27" xfId="0" applyFont="1" applyFill="1" applyBorder="1" applyAlignment="1">
      <alignment horizontal="center"/>
    </xf>
    <xf numFmtId="0" fontId="2" fillId="7" borderId="23" xfId="0" applyFont="1" applyFill="1" applyBorder="1" applyAlignment="1">
      <alignment horizontal="center"/>
    </xf>
    <xf numFmtId="0" fontId="0" fillId="7" borderId="28" xfId="0" applyFill="1" applyBorder="1" applyAlignment="1">
      <alignment horizontal="center"/>
    </xf>
    <xf numFmtId="0" fontId="0" fillId="7" borderId="24" xfId="0" applyFill="1" applyBorder="1" applyAlignment="1">
      <alignment horizontal="center"/>
    </xf>
    <xf numFmtId="166" fontId="0" fillId="7" borderId="29" xfId="0" applyNumberFormat="1" applyFill="1" applyBorder="1" applyAlignment="1">
      <alignment horizontal="right" indent="1"/>
    </xf>
    <xf numFmtId="166" fontId="0" fillId="7" borderId="25" xfId="0" applyNumberFormat="1" applyFill="1" applyBorder="1" applyAlignment="1">
      <alignment horizontal="right" indent="1"/>
    </xf>
    <xf numFmtId="167" fontId="0" fillId="7" borderId="29" xfId="0" applyNumberFormat="1" applyFill="1" applyBorder="1" applyAlignment="1">
      <alignment horizontal="right" indent="1"/>
    </xf>
    <xf numFmtId="167" fontId="0" fillId="7" borderId="25" xfId="0" applyNumberFormat="1" applyFill="1" applyBorder="1" applyAlignment="1">
      <alignment horizontal="right" indent="1"/>
    </xf>
    <xf numFmtId="0" fontId="2" fillId="7" borderId="29" xfId="0" applyFont="1" applyFill="1" applyBorder="1" applyAlignment="1">
      <alignment horizontal="center"/>
    </xf>
    <xf numFmtId="0" fontId="2" fillId="7" borderId="25" xfId="0" applyFont="1" applyFill="1" applyBorder="1" applyAlignment="1">
      <alignment horizontal="center"/>
    </xf>
    <xf numFmtId="168" fontId="0" fillId="7" borderId="29" xfId="1" applyNumberFormat="1" applyFont="1" applyFill="1" applyBorder="1" applyAlignment="1">
      <alignment horizontal="right" indent="1"/>
    </xf>
    <xf numFmtId="168" fontId="0" fillId="7" borderId="25" xfId="1" applyNumberFormat="1" applyFont="1" applyFill="1" applyBorder="1" applyAlignment="1">
      <alignment horizontal="right" indent="1"/>
    </xf>
    <xf numFmtId="0" fontId="0" fillId="7" borderId="29" xfId="0" applyFill="1" applyBorder="1" applyAlignment="1" applyProtection="1">
      <alignment horizontal="right" indent="1"/>
    </xf>
    <xf numFmtId="0" fontId="0" fillId="7" borderId="25" xfId="0" applyFill="1" applyBorder="1" applyAlignment="1" applyProtection="1">
      <alignment horizontal="right" indent="1"/>
    </xf>
    <xf numFmtId="168" fontId="0" fillId="7" borderId="30" xfId="1" applyNumberFormat="1" applyFont="1" applyFill="1" applyBorder="1" applyAlignment="1">
      <alignment horizontal="right" indent="1"/>
    </xf>
    <xf numFmtId="168" fontId="0" fillId="7" borderId="26" xfId="1" applyNumberFormat="1" applyFont="1" applyFill="1" applyBorder="1" applyAlignment="1">
      <alignment horizontal="right" indent="1"/>
    </xf>
    <xf numFmtId="0" fontId="0" fillId="0" borderId="31" xfId="0" applyBorder="1"/>
    <xf numFmtId="0" fontId="7" fillId="0" borderId="32" xfId="0" applyFont="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7" xfId="0" applyBorder="1" applyAlignment="1">
      <alignment horizontal="right" indent="1"/>
    </xf>
    <xf numFmtId="165" fontId="3" fillId="0" borderId="0" xfId="0" applyNumberFormat="1" applyFont="1" applyBorder="1"/>
    <xf numFmtId="165" fontId="3" fillId="0" borderId="38" xfId="0" applyNumberFormat="1" applyFont="1" applyBorder="1"/>
    <xf numFmtId="0" fontId="0" fillId="0" borderId="39" xfId="0" applyBorder="1" applyAlignment="1">
      <alignment horizontal="right" indent="1"/>
    </xf>
    <xf numFmtId="0" fontId="0" fillId="0" borderId="40" xfId="0" applyBorder="1" applyAlignment="1">
      <alignment horizontal="right" indent="1"/>
    </xf>
    <xf numFmtId="165" fontId="3" fillId="0" borderId="40" xfId="0" applyNumberFormat="1" applyFont="1" applyBorder="1"/>
    <xf numFmtId="165" fontId="3" fillId="0" borderId="41" xfId="0" applyNumberFormat="1" applyFont="1" applyBorder="1"/>
    <xf numFmtId="0" fontId="2" fillId="0" borderId="39" xfId="0" applyFont="1" applyBorder="1" applyAlignment="1">
      <alignment horizontal="right" indent="1"/>
    </xf>
    <xf numFmtId="0" fontId="2" fillId="0" borderId="40" xfId="0" applyFont="1" applyBorder="1" applyAlignment="1">
      <alignment horizontal="right" indent="1"/>
    </xf>
    <xf numFmtId="0" fontId="6" fillId="0" borderId="40" xfId="0" applyFont="1" applyBorder="1" applyAlignment="1">
      <alignment horizontal="right" indent="1"/>
    </xf>
    <xf numFmtId="0" fontId="6" fillId="0" borderId="41" xfId="0" applyFont="1" applyBorder="1" applyAlignment="1">
      <alignment horizontal="right" indent="1"/>
    </xf>
    <xf numFmtId="0" fontId="5" fillId="0" borderId="39" xfId="0" applyFont="1" applyBorder="1" applyAlignment="1">
      <alignment horizontal="right" indent="1"/>
    </xf>
    <xf numFmtId="165" fontId="4" fillId="0" borderId="37" xfId="0" applyNumberFormat="1" applyFont="1" applyBorder="1"/>
    <xf numFmtId="165" fontId="4" fillId="0" borderId="39" xfId="0" applyNumberFormat="1" applyFont="1" applyBorder="1"/>
    <xf numFmtId="165" fontId="4" fillId="0" borderId="37" xfId="0" applyNumberFormat="1" applyFont="1" applyBorder="1" applyAlignment="1">
      <alignment horizontal="right" indent="1"/>
    </xf>
    <xf numFmtId="165" fontId="3" fillId="0" borderId="0" xfId="0" applyNumberFormat="1" applyFont="1" applyBorder="1" applyAlignment="1">
      <alignment horizontal="right" indent="1"/>
    </xf>
    <xf numFmtId="165" fontId="4" fillId="0" borderId="39" xfId="0" applyNumberFormat="1" applyFont="1" applyBorder="1" applyAlignment="1">
      <alignment horizontal="right" indent="1"/>
    </xf>
    <xf numFmtId="165" fontId="3" fillId="0" borderId="40" xfId="0" applyNumberFormat="1" applyFont="1" applyBorder="1" applyAlignment="1">
      <alignment horizontal="right" indent="1"/>
    </xf>
    <xf numFmtId="165" fontId="3" fillId="0" borderId="38" xfId="0" applyNumberFormat="1" applyFont="1" applyBorder="1" applyAlignment="1">
      <alignment horizontal="right" indent="1"/>
    </xf>
    <xf numFmtId="165" fontId="3" fillId="0" borderId="41" xfId="0" applyNumberFormat="1" applyFont="1" applyBorder="1" applyAlignment="1">
      <alignment horizontal="right" indent="1"/>
    </xf>
    <xf numFmtId="0" fontId="7" fillId="0" borderId="31" xfId="0" applyFont="1" applyBorder="1"/>
    <xf numFmtId="0" fontId="2" fillId="0" borderId="34" xfId="0" applyFont="1" applyBorder="1"/>
    <xf numFmtId="0" fontId="2" fillId="0" borderId="35" xfId="0" applyFont="1" applyBorder="1"/>
    <xf numFmtId="14" fontId="0" fillId="5" borderId="9" xfId="0" applyNumberFormat="1" applyFill="1" applyBorder="1" applyProtection="1">
      <protection locked="0"/>
    </xf>
    <xf numFmtId="0" fontId="0" fillId="5" borderId="9" xfId="0" applyFill="1" applyBorder="1" applyProtection="1">
      <protection locked="0"/>
    </xf>
    <xf numFmtId="14" fontId="0" fillId="0" borderId="0" xfId="0" applyNumberFormat="1"/>
    <xf numFmtId="0" fontId="0" fillId="8" borderId="0" xfId="0" applyFill="1"/>
    <xf numFmtId="173" fontId="0" fillId="3" borderId="9" xfId="0" applyNumberFormat="1" applyFill="1" applyBorder="1" applyProtection="1">
      <protection locked="0"/>
    </xf>
    <xf numFmtId="165" fontId="0" fillId="3" borderId="42" xfId="0" applyNumberFormat="1" applyFill="1" applyBorder="1" applyProtection="1">
      <protection locked="0"/>
    </xf>
    <xf numFmtId="172" fontId="0" fillId="0" borderId="0" xfId="0" applyNumberFormat="1" applyFill="1" applyBorder="1" applyProtection="1"/>
    <xf numFmtId="173" fontId="0" fillId="0" borderId="0" xfId="0" applyNumberFormat="1"/>
    <xf numFmtId="0" fontId="2" fillId="0" borderId="0" xfId="0" applyFont="1" applyAlignment="1">
      <alignment horizontal="right" indent="1"/>
    </xf>
    <xf numFmtId="165" fontId="2" fillId="0" borderId="0" xfId="0" applyNumberFormat="1" applyFont="1"/>
    <xf numFmtId="0" fontId="2" fillId="0" borderId="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0" fillId="0" borderId="0" xfId="0" applyProtection="1"/>
    <xf numFmtId="0" fontId="0" fillId="0" borderId="0" xfId="0" applyBorder="1" applyProtection="1"/>
    <xf numFmtId="0" fontId="0" fillId="0" borderId="0" xfId="0" applyFill="1" applyBorder="1" applyAlignment="1" applyProtection="1">
      <alignment horizontal="center"/>
    </xf>
    <xf numFmtId="0" fontId="0" fillId="0" borderId="0" xfId="0" applyFill="1" applyBorder="1" applyProtection="1"/>
    <xf numFmtId="0" fontId="0" fillId="0" borderId="0" xfId="0" applyProtection="1">
      <protection hidden="1"/>
    </xf>
    <xf numFmtId="0" fontId="9" fillId="4" borderId="10" xfId="0" applyFont="1" applyFill="1" applyBorder="1" applyProtection="1">
      <protection hidden="1"/>
    </xf>
    <xf numFmtId="0" fontId="0" fillId="4" borderId="11" xfId="0" applyFill="1" applyBorder="1" applyProtection="1">
      <protection hidden="1"/>
    </xf>
    <xf numFmtId="0" fontId="0" fillId="4" borderId="12" xfId="0" applyFill="1" applyBorder="1" applyProtection="1">
      <protection hidden="1"/>
    </xf>
    <xf numFmtId="0" fontId="4" fillId="4" borderId="13" xfId="0" applyFont="1" applyFill="1" applyBorder="1" applyProtection="1">
      <protection hidden="1"/>
    </xf>
    <xf numFmtId="0" fontId="5" fillId="4" borderId="14" xfId="0" applyFont="1" applyFill="1" applyBorder="1" applyAlignment="1" applyProtection="1">
      <alignment horizontal="center"/>
      <protection hidden="1"/>
    </xf>
    <xf numFmtId="0" fontId="5" fillId="4" borderId="15" xfId="0" applyFont="1" applyFill="1" applyBorder="1" applyAlignment="1" applyProtection="1">
      <alignment horizontal="center"/>
      <protection hidden="1"/>
    </xf>
    <xf numFmtId="0" fontId="4" fillId="4" borderId="16" xfId="0" applyFont="1" applyFill="1" applyBorder="1" applyProtection="1">
      <protection hidden="1"/>
    </xf>
    <xf numFmtId="0" fontId="4" fillId="4" borderId="17" xfId="0" applyFont="1" applyFill="1" applyBorder="1" applyProtection="1">
      <protection hidden="1"/>
    </xf>
    <xf numFmtId="0" fontId="4" fillId="4" borderId="18" xfId="0" applyFont="1" applyFill="1" applyBorder="1" applyProtection="1">
      <protection hidden="1"/>
    </xf>
    <xf numFmtId="0" fontId="4" fillId="4" borderId="16" xfId="0" applyFont="1" applyFill="1" applyBorder="1" applyAlignment="1" applyProtection="1">
      <alignment horizontal="right" indent="1"/>
      <protection hidden="1"/>
    </xf>
    <xf numFmtId="0" fontId="4" fillId="4" borderId="43" xfId="0" applyFont="1" applyFill="1" applyBorder="1" applyAlignment="1" applyProtection="1">
      <alignment horizontal="right" indent="1"/>
      <protection hidden="1"/>
    </xf>
    <xf numFmtId="0" fontId="4" fillId="4" borderId="46" xfId="0" applyFont="1" applyFill="1" applyBorder="1" applyAlignment="1" applyProtection="1">
      <alignment horizontal="left" vertical="center" wrapText="1"/>
      <protection hidden="1"/>
    </xf>
    <xf numFmtId="0" fontId="4" fillId="4" borderId="47" xfId="0" applyFont="1" applyFill="1" applyBorder="1" applyAlignment="1" applyProtection="1">
      <alignment horizontal="left" vertical="center" wrapText="1"/>
      <protection hidden="1"/>
    </xf>
    <xf numFmtId="0" fontId="4" fillId="4" borderId="48" xfId="0" applyFont="1" applyFill="1" applyBorder="1" applyAlignment="1" applyProtection="1">
      <alignment horizontal="left" vertical="center" wrapText="1"/>
      <protection hidden="1"/>
    </xf>
    <xf numFmtId="0" fontId="4" fillId="4" borderId="49" xfId="0" applyFont="1" applyFill="1" applyBorder="1" applyAlignment="1" applyProtection="1">
      <alignment horizontal="left" vertical="center" wrapText="1"/>
      <protection hidden="1"/>
    </xf>
    <xf numFmtId="0" fontId="4" fillId="4" borderId="50" xfId="0" applyFont="1" applyFill="1" applyBorder="1" applyAlignment="1" applyProtection="1">
      <alignment horizontal="left" vertical="center" wrapText="1"/>
      <protection hidden="1"/>
    </xf>
    <xf numFmtId="0" fontId="4" fillId="4" borderId="51" xfId="0" applyFont="1" applyFill="1" applyBorder="1" applyAlignment="1" applyProtection="1">
      <alignment horizontal="left" vertical="center" wrapText="1"/>
      <protection hidden="1"/>
    </xf>
    <xf numFmtId="164" fontId="4" fillId="4" borderId="17" xfId="0" applyNumberFormat="1" applyFont="1" applyFill="1" applyBorder="1" applyAlignment="1" applyProtection="1">
      <alignment horizontal="right" indent="1"/>
      <protection hidden="1"/>
    </xf>
    <xf numFmtId="164" fontId="4" fillId="4" borderId="18" xfId="0" applyNumberFormat="1" applyFont="1" applyFill="1" applyBorder="1" applyAlignment="1" applyProtection="1">
      <alignment horizontal="right" indent="1"/>
      <protection hidden="1"/>
    </xf>
    <xf numFmtId="165" fontId="4" fillId="4" borderId="17" xfId="0" applyNumberFormat="1" applyFont="1" applyFill="1" applyBorder="1" applyProtection="1">
      <protection hidden="1"/>
    </xf>
    <xf numFmtId="0" fontId="4" fillId="4" borderId="18" xfId="0" applyFont="1" applyFill="1" applyBorder="1" applyAlignment="1" applyProtection="1">
      <alignment horizontal="center"/>
      <protection hidden="1"/>
    </xf>
    <xf numFmtId="172" fontId="4" fillId="4" borderId="17" xfId="0" applyNumberFormat="1" applyFont="1" applyFill="1" applyBorder="1" applyProtection="1">
      <protection hidden="1"/>
    </xf>
    <xf numFmtId="165" fontId="4" fillId="4" borderId="44" xfId="0" applyNumberFormat="1" applyFont="1" applyFill="1" applyBorder="1" applyProtection="1">
      <protection hidden="1"/>
    </xf>
    <xf numFmtId="0" fontId="4" fillId="4" borderId="45" xfId="0" applyFont="1" applyFill="1" applyBorder="1" applyProtection="1">
      <protection hidden="1"/>
    </xf>
  </cellXfs>
  <cellStyles count="3">
    <cellStyle name="Komma" xfId="1" builtinId="3"/>
    <cellStyle name="Standard" xfId="0" builtinId="0"/>
    <cellStyle name="Währung" xfId="2" builtinId="4"/>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Musterhaus 1 - Gesamtkosten pro Jahr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Kalkulation!$E$62</c:f>
              <c:strCache>
                <c:ptCount val="1"/>
                <c:pt idx="0">
                  <c:v>Wärmepumpe</c:v>
                </c:pt>
              </c:strCache>
            </c:strRef>
          </c:tx>
          <c:spPr>
            <a:ln w="28575" cap="rnd">
              <a:solidFill>
                <a:schemeClr val="accent1"/>
              </a:solidFill>
              <a:round/>
            </a:ln>
            <a:effectLst/>
          </c:spPr>
          <c:marker>
            <c:symbol val="none"/>
          </c:marker>
          <c:cat>
            <c:numRef>
              <c:f>Kalkulation!$A$63:$A$82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Kalkulation!$E$63:$E$82</c:f>
              <c:numCache>
                <c:formatCode>_-* #,##0.00\ [$€-407]_-;\-* #,##0.00\ [$€-407]_-;_-* "-"??\ [$€-407]_-;_-@_-</c:formatCode>
                <c:ptCount val="20"/>
                <c:pt idx="0">
                  <c:v>19106.666666666668</c:v>
                </c:pt>
                <c:pt idx="1">
                  <c:v>21233.333333333336</c:v>
                </c:pt>
                <c:pt idx="2">
                  <c:v>23360.000000000004</c:v>
                </c:pt>
                <c:pt idx="3">
                  <c:v>25486.666666666672</c:v>
                </c:pt>
                <c:pt idx="4">
                  <c:v>27613.333333333339</c:v>
                </c:pt>
                <c:pt idx="5">
                  <c:v>29740.000000000007</c:v>
                </c:pt>
                <c:pt idx="6">
                  <c:v>31866.666666666675</c:v>
                </c:pt>
                <c:pt idx="7">
                  <c:v>33993.333333333343</c:v>
                </c:pt>
                <c:pt idx="8">
                  <c:v>36120.000000000007</c:v>
                </c:pt>
                <c:pt idx="9">
                  <c:v>38246.666666666672</c:v>
                </c:pt>
                <c:pt idx="10">
                  <c:v>40373.333333333336</c:v>
                </c:pt>
                <c:pt idx="11">
                  <c:v>42500</c:v>
                </c:pt>
                <c:pt idx="12">
                  <c:v>44626.666666666664</c:v>
                </c:pt>
                <c:pt idx="13">
                  <c:v>46753.333333333328</c:v>
                </c:pt>
                <c:pt idx="14">
                  <c:v>48879.999999999993</c:v>
                </c:pt>
                <c:pt idx="15">
                  <c:v>51006.666666666657</c:v>
                </c:pt>
                <c:pt idx="16">
                  <c:v>53133.333333333321</c:v>
                </c:pt>
                <c:pt idx="17">
                  <c:v>55259.999999999985</c:v>
                </c:pt>
                <c:pt idx="18">
                  <c:v>57386.66666666665</c:v>
                </c:pt>
                <c:pt idx="19">
                  <c:v>59513.333333333314</c:v>
                </c:pt>
              </c:numCache>
            </c:numRef>
          </c:val>
          <c:smooth val="0"/>
          <c:extLst>
            <c:ext xmlns:c16="http://schemas.microsoft.com/office/drawing/2014/chart" uri="{C3380CC4-5D6E-409C-BE32-E72D297353CC}">
              <c16:uniqueId val="{00000000-535A-4789-B903-D1C61747A778}"/>
            </c:ext>
          </c:extLst>
        </c:ser>
        <c:ser>
          <c:idx val="1"/>
          <c:order val="1"/>
          <c:tx>
            <c:strRef>
              <c:f>Kalkulation!$F$62</c:f>
              <c:strCache>
                <c:ptCount val="1"/>
                <c:pt idx="0">
                  <c:v>Gas</c:v>
                </c:pt>
              </c:strCache>
            </c:strRef>
          </c:tx>
          <c:spPr>
            <a:ln w="28575" cap="rnd">
              <a:solidFill>
                <a:schemeClr val="accent2"/>
              </a:solidFill>
              <a:round/>
            </a:ln>
            <a:effectLst/>
          </c:spPr>
          <c:marker>
            <c:symbol val="none"/>
          </c:marker>
          <c:cat>
            <c:numRef>
              <c:f>Kalkulation!$A$63:$A$82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Kalkulation!$F$63:$F$82</c:f>
              <c:numCache>
                <c:formatCode>_-* #,##0.00\ [$€-407]_-;\-* #,##0.00\ [$€-407]_-;_-* "-"??\ [$€-407]_-;_-@_-</c:formatCode>
                <c:ptCount val="20"/>
                <c:pt idx="0">
                  <c:v>12640.255999999999</c:v>
                </c:pt>
                <c:pt idx="1">
                  <c:v>15280.511999999999</c:v>
                </c:pt>
                <c:pt idx="2">
                  <c:v>17959.36</c:v>
                </c:pt>
                <c:pt idx="3">
                  <c:v>20753.504000000001</c:v>
                </c:pt>
                <c:pt idx="4">
                  <c:v>23571.528000000002</c:v>
                </c:pt>
                <c:pt idx="5">
                  <c:v>26438.756800000003</c:v>
                </c:pt>
                <c:pt idx="6">
                  <c:v>29348.629760000003</c:v>
                </c:pt>
                <c:pt idx="7">
                  <c:v>32284.745280000003</c:v>
                </c:pt>
                <c:pt idx="8">
                  <c:v>35247.103360000001</c:v>
                </c:pt>
                <c:pt idx="9">
                  <c:v>38306.186240000003</c:v>
                </c:pt>
                <c:pt idx="10">
                  <c:v>41386.880640000003</c:v>
                </c:pt>
                <c:pt idx="11">
                  <c:v>44489.186560000002</c:v>
                </c:pt>
                <c:pt idx="12">
                  <c:v>47613.103999999999</c:v>
                </c:pt>
                <c:pt idx="13">
                  <c:v>50758.632960000003</c:v>
                </c:pt>
                <c:pt idx="14">
                  <c:v>54020.427520000005</c:v>
                </c:pt>
                <c:pt idx="15">
                  <c:v>57294.571520000005</c:v>
                </c:pt>
                <c:pt idx="16">
                  <c:v>60581.064960000003</c:v>
                </c:pt>
                <c:pt idx="17">
                  <c:v>63879.90784</c:v>
                </c:pt>
                <c:pt idx="18">
                  <c:v>67191.100160000002</c:v>
                </c:pt>
                <c:pt idx="19">
                  <c:v>70514.641920000009</c:v>
                </c:pt>
              </c:numCache>
            </c:numRef>
          </c:val>
          <c:smooth val="0"/>
          <c:extLst>
            <c:ext xmlns:c16="http://schemas.microsoft.com/office/drawing/2014/chart" uri="{C3380CC4-5D6E-409C-BE32-E72D297353CC}">
              <c16:uniqueId val="{00000001-535A-4789-B903-D1C61747A778}"/>
            </c:ext>
          </c:extLst>
        </c:ser>
        <c:dLbls>
          <c:showLegendKey val="0"/>
          <c:showVal val="0"/>
          <c:showCatName val="0"/>
          <c:showSerName val="0"/>
          <c:showPercent val="0"/>
          <c:showBubbleSize val="0"/>
        </c:dLbls>
        <c:smooth val="0"/>
        <c:axId val="460091872"/>
        <c:axId val="460088264"/>
      </c:lineChart>
      <c:catAx>
        <c:axId val="4600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88264"/>
        <c:crosses val="autoZero"/>
        <c:auto val="1"/>
        <c:lblAlgn val="ctr"/>
        <c:lblOffset val="100"/>
        <c:noMultiLvlLbl val="0"/>
      </c:catAx>
      <c:valAx>
        <c:axId val="46008826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9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Musterhaus 2 - Gesamtkosten pro Jahr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Kalkulation!$E$87</c:f>
              <c:strCache>
                <c:ptCount val="1"/>
                <c:pt idx="0">
                  <c:v>Wärmepumpe</c:v>
                </c:pt>
              </c:strCache>
            </c:strRef>
          </c:tx>
          <c:spPr>
            <a:ln w="28575" cap="rnd">
              <a:solidFill>
                <a:schemeClr val="accent1"/>
              </a:solidFill>
              <a:round/>
            </a:ln>
            <a:effectLst/>
          </c:spPr>
          <c:marker>
            <c:symbol val="none"/>
          </c:marker>
          <c:cat>
            <c:numRef>
              <c:f>Kalkulation!$A$88:$A$107</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Kalkulation!$E$88:$E$107</c:f>
              <c:numCache>
                <c:formatCode>_-* #,##0.00\ [$€-407]_-;\-* #,##0.00\ [$€-407]_-;_-* "-"??\ [$€-407]_-;_-@_-</c:formatCode>
                <c:ptCount val="20"/>
                <c:pt idx="0">
                  <c:v>18300</c:v>
                </c:pt>
                <c:pt idx="1">
                  <c:v>19620</c:v>
                </c:pt>
                <c:pt idx="2">
                  <c:v>20940</c:v>
                </c:pt>
                <c:pt idx="3">
                  <c:v>22260</c:v>
                </c:pt>
                <c:pt idx="4">
                  <c:v>23580</c:v>
                </c:pt>
                <c:pt idx="5">
                  <c:v>24900</c:v>
                </c:pt>
                <c:pt idx="6">
                  <c:v>26220</c:v>
                </c:pt>
                <c:pt idx="7">
                  <c:v>27540</c:v>
                </c:pt>
                <c:pt idx="8">
                  <c:v>28860</c:v>
                </c:pt>
                <c:pt idx="9">
                  <c:v>30180</c:v>
                </c:pt>
                <c:pt idx="10">
                  <c:v>31500</c:v>
                </c:pt>
                <c:pt idx="11">
                  <c:v>32820</c:v>
                </c:pt>
                <c:pt idx="12">
                  <c:v>34140</c:v>
                </c:pt>
                <c:pt idx="13">
                  <c:v>35460</c:v>
                </c:pt>
                <c:pt idx="14">
                  <c:v>36780</c:v>
                </c:pt>
                <c:pt idx="15">
                  <c:v>38100</c:v>
                </c:pt>
                <c:pt idx="16">
                  <c:v>39420</c:v>
                </c:pt>
                <c:pt idx="17">
                  <c:v>40740</c:v>
                </c:pt>
                <c:pt idx="18">
                  <c:v>42060</c:v>
                </c:pt>
                <c:pt idx="19">
                  <c:v>43380</c:v>
                </c:pt>
              </c:numCache>
            </c:numRef>
          </c:val>
          <c:smooth val="0"/>
          <c:extLst>
            <c:ext xmlns:c16="http://schemas.microsoft.com/office/drawing/2014/chart" uri="{C3380CC4-5D6E-409C-BE32-E72D297353CC}">
              <c16:uniqueId val="{00000000-07CB-4912-8F40-267C82DA5FA1}"/>
            </c:ext>
          </c:extLst>
        </c:ser>
        <c:ser>
          <c:idx val="1"/>
          <c:order val="1"/>
          <c:tx>
            <c:strRef>
              <c:f>Kalkulation!$F$87</c:f>
              <c:strCache>
                <c:ptCount val="1"/>
                <c:pt idx="0">
                  <c:v>Gas</c:v>
                </c:pt>
              </c:strCache>
            </c:strRef>
          </c:tx>
          <c:spPr>
            <a:ln w="28575" cap="rnd">
              <a:solidFill>
                <a:schemeClr val="accent2"/>
              </a:solidFill>
              <a:round/>
            </a:ln>
            <a:effectLst/>
          </c:spPr>
          <c:marker>
            <c:symbol val="none"/>
          </c:marker>
          <c:cat>
            <c:numRef>
              <c:f>Kalkulation!$A$88:$A$107</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Kalkulation!$F$88:$F$107</c:f>
              <c:numCache>
                <c:formatCode>_-* #,##0.00\ [$€-407]_-;\-* #,##0.00\ [$€-407]_-;_-* "-"??\ [$€-407]_-;_-@_-</c:formatCode>
                <c:ptCount val="20"/>
                <c:pt idx="0">
                  <c:v>11840.66</c:v>
                </c:pt>
                <c:pt idx="1">
                  <c:v>13681.32</c:v>
                </c:pt>
                <c:pt idx="2">
                  <c:v>15546.1</c:v>
                </c:pt>
                <c:pt idx="3">
                  <c:v>17482.939999999999</c:v>
                </c:pt>
                <c:pt idx="4">
                  <c:v>19434.704999999998</c:v>
                </c:pt>
                <c:pt idx="5">
                  <c:v>21417.222999999998</c:v>
                </c:pt>
                <c:pt idx="6">
                  <c:v>23426.393599999999</c:v>
                </c:pt>
                <c:pt idx="7">
                  <c:v>25451.965799999998</c:v>
                </c:pt>
                <c:pt idx="8">
                  <c:v>27493.939599999998</c:v>
                </c:pt>
                <c:pt idx="9">
                  <c:v>29596.366399999999</c:v>
                </c:pt>
                <c:pt idx="10">
                  <c:v>31712.3004</c:v>
                </c:pt>
                <c:pt idx="11">
                  <c:v>33841.741600000001</c:v>
                </c:pt>
                <c:pt idx="12">
                  <c:v>35984.69</c:v>
                </c:pt>
                <c:pt idx="13">
                  <c:v>38141.145600000003</c:v>
                </c:pt>
                <c:pt idx="14">
                  <c:v>40370.267200000002</c:v>
                </c:pt>
                <c:pt idx="15">
                  <c:v>42607.107199999999</c:v>
                </c:pt>
                <c:pt idx="16">
                  <c:v>44851.6656</c:v>
                </c:pt>
                <c:pt idx="17">
                  <c:v>47103.9424</c:v>
                </c:pt>
                <c:pt idx="18">
                  <c:v>49363.937599999997</c:v>
                </c:pt>
                <c:pt idx="19">
                  <c:v>51631.6512</c:v>
                </c:pt>
              </c:numCache>
            </c:numRef>
          </c:val>
          <c:smooth val="0"/>
          <c:extLst>
            <c:ext xmlns:c16="http://schemas.microsoft.com/office/drawing/2014/chart" uri="{C3380CC4-5D6E-409C-BE32-E72D297353CC}">
              <c16:uniqueId val="{00000001-07CB-4912-8F40-267C82DA5FA1}"/>
            </c:ext>
          </c:extLst>
        </c:ser>
        <c:dLbls>
          <c:showLegendKey val="0"/>
          <c:showVal val="0"/>
          <c:showCatName val="0"/>
          <c:showSerName val="0"/>
          <c:showPercent val="0"/>
          <c:showBubbleSize val="0"/>
        </c:dLbls>
        <c:smooth val="0"/>
        <c:axId val="460091872"/>
        <c:axId val="460088264"/>
      </c:lineChart>
      <c:catAx>
        <c:axId val="4600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88264"/>
        <c:crosses val="autoZero"/>
        <c:auto val="1"/>
        <c:lblAlgn val="ctr"/>
        <c:lblOffset val="100"/>
        <c:noMultiLvlLbl val="0"/>
      </c:catAx>
      <c:valAx>
        <c:axId val="46008826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9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Musterhaus 3 - Gesamtkosten pro Jahr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Kalkulation!$E$113</c:f>
              <c:strCache>
                <c:ptCount val="1"/>
                <c:pt idx="0">
                  <c:v>Wärmepumpe</c:v>
                </c:pt>
              </c:strCache>
            </c:strRef>
          </c:tx>
          <c:spPr>
            <a:ln w="28575" cap="rnd">
              <a:solidFill>
                <a:schemeClr val="accent1"/>
              </a:solidFill>
              <a:round/>
            </a:ln>
            <a:effectLst/>
          </c:spPr>
          <c:marker>
            <c:symbol val="none"/>
          </c:marker>
          <c:cat>
            <c:numRef>
              <c:f>Kalkulation!$A$114:$A$133</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Kalkulation!$E$114:$E$133</c:f>
              <c:numCache>
                <c:formatCode>_-* #,##0.00\ [$€-407]_-;\-* #,##0.00\ [$€-407]_-;_-* "-"??\ [$€-407]_-;_-@_-</c:formatCode>
                <c:ptCount val="20"/>
                <c:pt idx="0">
                  <c:v>18000</c:v>
                </c:pt>
                <c:pt idx="1">
                  <c:v>19020</c:v>
                </c:pt>
                <c:pt idx="2">
                  <c:v>20040</c:v>
                </c:pt>
                <c:pt idx="3">
                  <c:v>21060</c:v>
                </c:pt>
                <c:pt idx="4">
                  <c:v>22080</c:v>
                </c:pt>
                <c:pt idx="5">
                  <c:v>23100</c:v>
                </c:pt>
                <c:pt idx="6">
                  <c:v>24120</c:v>
                </c:pt>
                <c:pt idx="7">
                  <c:v>25140</c:v>
                </c:pt>
                <c:pt idx="8">
                  <c:v>26160</c:v>
                </c:pt>
                <c:pt idx="9">
                  <c:v>27180</c:v>
                </c:pt>
                <c:pt idx="10">
                  <c:v>28200</c:v>
                </c:pt>
                <c:pt idx="11">
                  <c:v>29220</c:v>
                </c:pt>
                <c:pt idx="12">
                  <c:v>30240</c:v>
                </c:pt>
                <c:pt idx="13">
                  <c:v>31260</c:v>
                </c:pt>
                <c:pt idx="14">
                  <c:v>32280</c:v>
                </c:pt>
                <c:pt idx="15">
                  <c:v>33300</c:v>
                </c:pt>
                <c:pt idx="16">
                  <c:v>34320</c:v>
                </c:pt>
                <c:pt idx="17">
                  <c:v>35340</c:v>
                </c:pt>
                <c:pt idx="18">
                  <c:v>36360</c:v>
                </c:pt>
                <c:pt idx="19">
                  <c:v>37380</c:v>
                </c:pt>
              </c:numCache>
            </c:numRef>
          </c:val>
          <c:smooth val="0"/>
          <c:extLst>
            <c:ext xmlns:c16="http://schemas.microsoft.com/office/drawing/2014/chart" uri="{C3380CC4-5D6E-409C-BE32-E72D297353CC}">
              <c16:uniqueId val="{00000000-F2A9-47C0-8E31-A4533B1E0D39}"/>
            </c:ext>
          </c:extLst>
        </c:ser>
        <c:ser>
          <c:idx val="1"/>
          <c:order val="1"/>
          <c:tx>
            <c:strRef>
              <c:f>Kalkulation!$F$113</c:f>
              <c:strCache>
                <c:ptCount val="1"/>
                <c:pt idx="0">
                  <c:v>Gas</c:v>
                </c:pt>
              </c:strCache>
            </c:strRef>
          </c:tx>
          <c:spPr>
            <a:ln w="28575" cap="rnd">
              <a:solidFill>
                <a:schemeClr val="accent2"/>
              </a:solidFill>
              <a:round/>
            </a:ln>
            <a:effectLst/>
          </c:spPr>
          <c:marker>
            <c:symbol val="none"/>
          </c:marker>
          <c:cat>
            <c:numRef>
              <c:f>Kalkulation!$A$114:$A$133</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Kalkulation!$F$114:$F$133</c:f>
              <c:numCache>
                <c:formatCode>_-* #,##0.00\ [$€-407]_-;\-* #,##0.00\ [$€-407]_-;_-* "-"??\ [$€-407]_-;_-@_-</c:formatCode>
                <c:ptCount val="20"/>
                <c:pt idx="0">
                  <c:v>11507.494999999999</c:v>
                </c:pt>
                <c:pt idx="1">
                  <c:v>13014.989999999998</c:v>
                </c:pt>
                <c:pt idx="2">
                  <c:v>14540.574999999997</c:v>
                </c:pt>
                <c:pt idx="3">
                  <c:v>16120.204999999996</c:v>
                </c:pt>
                <c:pt idx="4">
                  <c:v>17711.028749999998</c:v>
                </c:pt>
                <c:pt idx="5">
                  <c:v>19324.917249999999</c:v>
                </c:pt>
                <c:pt idx="6">
                  <c:v>20958.7952</c:v>
                </c:pt>
                <c:pt idx="7">
                  <c:v>22604.97435</c:v>
                </c:pt>
                <c:pt idx="8">
                  <c:v>24263.454700000002</c:v>
                </c:pt>
                <c:pt idx="9">
                  <c:v>25967.274800000003</c:v>
                </c:pt>
                <c:pt idx="10">
                  <c:v>27681.225300000002</c:v>
                </c:pt>
                <c:pt idx="11">
                  <c:v>29405.306200000003</c:v>
                </c:pt>
                <c:pt idx="12">
                  <c:v>31139.517500000002</c:v>
                </c:pt>
                <c:pt idx="13">
                  <c:v>32883.859199999999</c:v>
                </c:pt>
                <c:pt idx="14">
                  <c:v>34682.700400000002</c:v>
                </c:pt>
                <c:pt idx="15">
                  <c:v>36487.330399999999</c:v>
                </c:pt>
                <c:pt idx="16">
                  <c:v>38297.749199999998</c:v>
                </c:pt>
                <c:pt idx="17">
                  <c:v>40113.9568</c:v>
                </c:pt>
                <c:pt idx="18">
                  <c:v>41935.953200000004</c:v>
                </c:pt>
                <c:pt idx="19">
                  <c:v>43763.738400000002</c:v>
                </c:pt>
              </c:numCache>
            </c:numRef>
          </c:val>
          <c:smooth val="0"/>
          <c:extLst>
            <c:ext xmlns:c16="http://schemas.microsoft.com/office/drawing/2014/chart" uri="{C3380CC4-5D6E-409C-BE32-E72D297353CC}">
              <c16:uniqueId val="{00000001-F2A9-47C0-8E31-A4533B1E0D39}"/>
            </c:ext>
          </c:extLst>
        </c:ser>
        <c:dLbls>
          <c:showLegendKey val="0"/>
          <c:showVal val="0"/>
          <c:showCatName val="0"/>
          <c:showSerName val="0"/>
          <c:showPercent val="0"/>
          <c:showBubbleSize val="0"/>
        </c:dLbls>
        <c:smooth val="0"/>
        <c:axId val="460091872"/>
        <c:axId val="460088264"/>
      </c:lineChart>
      <c:catAx>
        <c:axId val="4600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88264"/>
        <c:crosses val="autoZero"/>
        <c:auto val="1"/>
        <c:lblAlgn val="ctr"/>
        <c:lblOffset val="100"/>
        <c:noMultiLvlLbl val="0"/>
      </c:catAx>
      <c:valAx>
        <c:axId val="46008826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9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Testhaus - Gesamtkosten pro Jahr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Kalkulation!$E$37</c:f>
              <c:strCache>
                <c:ptCount val="1"/>
                <c:pt idx="0">
                  <c:v>Wärmepumpe</c:v>
                </c:pt>
              </c:strCache>
            </c:strRef>
          </c:tx>
          <c:spPr>
            <a:ln w="28575" cap="rnd">
              <a:solidFill>
                <a:schemeClr val="accent1"/>
              </a:solidFill>
              <a:round/>
            </a:ln>
            <a:effectLst/>
          </c:spPr>
          <c:marker>
            <c:symbol val="none"/>
          </c:marker>
          <c:cat>
            <c:numRef>
              <c:f>Kalkulation!$A$38:$A$57</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Kalkulation!$E$38:$E$57</c:f>
              <c:numCache>
                <c:formatCode>_-* #,##0.00\ [$€-407]_-;\-* #,##0.00\ [$€-407]_-;_-* "-"??\ [$€-407]_-;_-@_-</c:formatCode>
                <c:ptCount val="20"/>
                <c:pt idx="0">
                  <c:v>19106.666666666668</c:v>
                </c:pt>
                <c:pt idx="1">
                  <c:v>21233.333333333336</c:v>
                </c:pt>
                <c:pt idx="2">
                  <c:v>23360.000000000004</c:v>
                </c:pt>
                <c:pt idx="3">
                  <c:v>25486.666666666672</c:v>
                </c:pt>
                <c:pt idx="4">
                  <c:v>27613.333333333339</c:v>
                </c:pt>
                <c:pt idx="5">
                  <c:v>29740.000000000007</c:v>
                </c:pt>
                <c:pt idx="6">
                  <c:v>31866.666666666675</c:v>
                </c:pt>
                <c:pt idx="7">
                  <c:v>33993.333333333343</c:v>
                </c:pt>
                <c:pt idx="8">
                  <c:v>36120.000000000007</c:v>
                </c:pt>
                <c:pt idx="9">
                  <c:v>38246.666666666672</c:v>
                </c:pt>
                <c:pt idx="10">
                  <c:v>40373.333333333336</c:v>
                </c:pt>
                <c:pt idx="11">
                  <c:v>42500</c:v>
                </c:pt>
                <c:pt idx="12">
                  <c:v>44626.666666666664</c:v>
                </c:pt>
                <c:pt idx="13">
                  <c:v>46753.333333333328</c:v>
                </c:pt>
                <c:pt idx="14">
                  <c:v>48879.999999999993</c:v>
                </c:pt>
                <c:pt idx="15">
                  <c:v>51006.666666666657</c:v>
                </c:pt>
                <c:pt idx="16">
                  <c:v>53133.333333333321</c:v>
                </c:pt>
                <c:pt idx="17">
                  <c:v>55259.999999999985</c:v>
                </c:pt>
                <c:pt idx="18">
                  <c:v>57386.66666666665</c:v>
                </c:pt>
                <c:pt idx="19">
                  <c:v>59513.333333333314</c:v>
                </c:pt>
              </c:numCache>
            </c:numRef>
          </c:val>
          <c:smooth val="0"/>
          <c:extLst>
            <c:ext xmlns:c16="http://schemas.microsoft.com/office/drawing/2014/chart" uri="{C3380CC4-5D6E-409C-BE32-E72D297353CC}">
              <c16:uniqueId val="{00000000-FED6-4989-B3FB-7203AE426454}"/>
            </c:ext>
          </c:extLst>
        </c:ser>
        <c:ser>
          <c:idx val="1"/>
          <c:order val="1"/>
          <c:tx>
            <c:strRef>
              <c:f>Kalkulation!$F$37</c:f>
              <c:strCache>
                <c:ptCount val="1"/>
                <c:pt idx="0">
                  <c:v>Gas</c:v>
                </c:pt>
              </c:strCache>
            </c:strRef>
          </c:tx>
          <c:spPr>
            <a:ln w="28575" cap="rnd">
              <a:solidFill>
                <a:schemeClr val="accent2"/>
              </a:solidFill>
              <a:round/>
            </a:ln>
            <a:effectLst/>
          </c:spPr>
          <c:marker>
            <c:symbol val="none"/>
          </c:marker>
          <c:cat>
            <c:numRef>
              <c:f>Kalkulation!$A$38:$A$57</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Kalkulation!$F$38:$F$57</c:f>
              <c:numCache>
                <c:formatCode>_-* #,##0.00\ [$€-407]_-;\-* #,##0.00\ [$€-407]_-;_-* "-"??\ [$€-407]_-;_-@_-</c:formatCode>
                <c:ptCount val="20"/>
                <c:pt idx="0">
                  <c:v>12640.255999999999</c:v>
                </c:pt>
                <c:pt idx="1">
                  <c:v>15280.511999999999</c:v>
                </c:pt>
                <c:pt idx="2">
                  <c:v>17959.36</c:v>
                </c:pt>
                <c:pt idx="3">
                  <c:v>20753.504000000001</c:v>
                </c:pt>
                <c:pt idx="4">
                  <c:v>23571.528000000002</c:v>
                </c:pt>
                <c:pt idx="5">
                  <c:v>26438.756800000003</c:v>
                </c:pt>
                <c:pt idx="6">
                  <c:v>29348.629760000003</c:v>
                </c:pt>
                <c:pt idx="7">
                  <c:v>32284.745280000003</c:v>
                </c:pt>
                <c:pt idx="8">
                  <c:v>35247.103360000001</c:v>
                </c:pt>
                <c:pt idx="9">
                  <c:v>38306.186240000003</c:v>
                </c:pt>
                <c:pt idx="10">
                  <c:v>41386.880640000003</c:v>
                </c:pt>
                <c:pt idx="11">
                  <c:v>44489.186560000002</c:v>
                </c:pt>
                <c:pt idx="12">
                  <c:v>47613.103999999999</c:v>
                </c:pt>
                <c:pt idx="13">
                  <c:v>50758.632960000003</c:v>
                </c:pt>
                <c:pt idx="14">
                  <c:v>54020.427520000005</c:v>
                </c:pt>
                <c:pt idx="15">
                  <c:v>57294.571520000005</c:v>
                </c:pt>
                <c:pt idx="16">
                  <c:v>60581.064960000003</c:v>
                </c:pt>
                <c:pt idx="17">
                  <c:v>63879.90784</c:v>
                </c:pt>
                <c:pt idx="18">
                  <c:v>67191.100160000002</c:v>
                </c:pt>
                <c:pt idx="19">
                  <c:v>70514.641920000009</c:v>
                </c:pt>
              </c:numCache>
            </c:numRef>
          </c:val>
          <c:smooth val="0"/>
          <c:extLst>
            <c:ext xmlns:c16="http://schemas.microsoft.com/office/drawing/2014/chart" uri="{C3380CC4-5D6E-409C-BE32-E72D297353CC}">
              <c16:uniqueId val="{00000001-FED6-4989-B3FB-7203AE426454}"/>
            </c:ext>
          </c:extLst>
        </c:ser>
        <c:dLbls>
          <c:showLegendKey val="0"/>
          <c:showVal val="0"/>
          <c:showCatName val="0"/>
          <c:showSerName val="0"/>
          <c:showPercent val="0"/>
          <c:showBubbleSize val="0"/>
        </c:dLbls>
        <c:smooth val="0"/>
        <c:axId val="460091872"/>
        <c:axId val="460088264"/>
      </c:lineChart>
      <c:catAx>
        <c:axId val="46009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88264"/>
        <c:crosses val="autoZero"/>
        <c:auto val="1"/>
        <c:lblAlgn val="ctr"/>
        <c:lblOffset val="100"/>
        <c:noMultiLvlLbl val="0"/>
      </c:catAx>
      <c:valAx>
        <c:axId val="460088264"/>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00918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609600</xdr:colOff>
      <xdr:row>61</xdr:row>
      <xdr:rowOff>0</xdr:rowOff>
    </xdr:from>
    <xdr:to>
      <xdr:col>13</xdr:col>
      <xdr:colOff>9525</xdr:colOff>
      <xdr:row>82</xdr:row>
      <xdr:rowOff>19050</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609599</xdr:colOff>
      <xdr:row>86</xdr:row>
      <xdr:rowOff>0</xdr:rowOff>
    </xdr:from>
    <xdr:to>
      <xdr:col>12</xdr:col>
      <xdr:colOff>1171574</xdr:colOff>
      <xdr:row>106</xdr:row>
      <xdr:rowOff>171450</xdr:rowOff>
    </xdr:to>
    <xdr:graphicFrame macro="">
      <xdr:nvGraphicFramePr>
        <xdr:cNvPr id="6" name="Diagram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638175</xdr:colOff>
      <xdr:row>112</xdr:row>
      <xdr:rowOff>0</xdr:rowOff>
    </xdr:from>
    <xdr:to>
      <xdr:col>13</xdr:col>
      <xdr:colOff>0</xdr:colOff>
      <xdr:row>132</xdr:row>
      <xdr:rowOff>171450</xdr:rowOff>
    </xdr:to>
    <xdr:graphicFrame macro="">
      <xdr:nvGraphicFramePr>
        <xdr:cNvPr id="8"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590550</xdr:colOff>
      <xdr:row>35</xdr:row>
      <xdr:rowOff>171450</xdr:rowOff>
    </xdr:from>
    <xdr:to>
      <xdr:col>12</xdr:col>
      <xdr:colOff>1162050</xdr:colOff>
      <xdr:row>57</xdr:row>
      <xdr:rowOff>0</xdr:rowOff>
    </xdr:to>
    <xdr:graphicFrame macro="">
      <xdr:nvGraphicFramePr>
        <xdr:cNvPr id="9"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180975</xdr:colOff>
      <xdr:row>0</xdr:row>
      <xdr:rowOff>66675</xdr:rowOff>
    </xdr:from>
    <xdr:ext cx="8334375" cy="1845633"/>
    <xdr:sp macro="" textlink="">
      <xdr:nvSpPr>
        <xdr:cNvPr id="2" name="Textfeld 1"/>
        <xdr:cNvSpPr txBox="1"/>
      </xdr:nvSpPr>
      <xdr:spPr>
        <a:xfrm>
          <a:off x="180975" y="66675"/>
          <a:ext cx="8334375" cy="1845633"/>
        </a:xfrm>
        <a:prstGeom prst="rect">
          <a:avLst/>
        </a:prstGeom>
        <a:solidFill>
          <a:schemeClr val="accent4">
            <a:lumMod val="20000"/>
            <a:lumOff val="80000"/>
          </a:schemeClr>
        </a:solidFill>
        <a:ln>
          <a:solidFill>
            <a:schemeClr val="accent4">
              <a:lumMod val="75000"/>
            </a:schemeClr>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spAutoFit/>
        </a:bodyPr>
        <a:lstStyle/>
        <a:p>
          <a:r>
            <a:rPr lang="de-DE" sz="1400" b="1">
              <a:solidFill>
                <a:schemeClr val="accent5">
                  <a:lumMod val="75000"/>
                </a:schemeClr>
              </a:solidFill>
            </a:rPr>
            <a:t>Beispiele für die Rentabilität einer Wärmepumpe in einem Einfamilienhaus</a:t>
          </a:r>
        </a:p>
        <a:p>
          <a:r>
            <a:rPr lang="de-DE" sz="1400">
              <a:solidFill>
                <a:schemeClr val="accent5">
                  <a:lumMod val="75000"/>
                </a:schemeClr>
              </a:solidFill>
            </a:rPr>
            <a:t>Verwendet</a:t>
          </a:r>
          <a:r>
            <a:rPr lang="de-DE" sz="1400" baseline="0">
              <a:solidFill>
                <a:schemeClr val="accent5">
                  <a:lumMod val="75000"/>
                </a:schemeClr>
              </a:solidFill>
            </a:rPr>
            <a:t> werden Datentarife der Stadtwerke Energie Jena sowie aus den angegebenen Quellen. Die Angaben für die Musterhäuser 1, 2 und 3 sind als Beispiele fest vorgegeben und nicht änderbar. Zum ausprobieren individueller Daten können die Werte für das Testhaus nach Bedarf angepasst werden. Geändert werden dürfen die Werte in den grün hinterlegten Zellen - aktualisiert wird nur das Testhaus.</a:t>
          </a:r>
        </a:p>
        <a:p>
          <a:r>
            <a:rPr lang="de-DE" sz="1400" baseline="0">
              <a:solidFill>
                <a:schemeClr val="accent5">
                  <a:lumMod val="75000"/>
                </a:schemeClr>
              </a:solidFill>
            </a:rPr>
            <a:t>Die Rechnungen wurden den neuen Förderbedingungen vom 21.07. 2026 angepasst. Dazu können das Antragsdatum, das Haushaltsjahreseinkommen und im Haushalt lebende Kinder eingegeben werden. Der jeweilige Förderhöchstbetrag sowie die  Boni werden automatisch ermittelt und unter den Eingaben angezeigt.</a:t>
          </a:r>
          <a:endParaRPr lang="de-DE" sz="1400">
            <a:solidFill>
              <a:schemeClr val="accent5">
                <a:lumMod val="75000"/>
              </a:schemeClr>
            </a:solidFill>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Y133"/>
  <sheetViews>
    <sheetView tabSelected="1" workbookViewId="0">
      <selection activeCell="F18" sqref="F18"/>
    </sheetView>
  </sheetViews>
  <sheetFormatPr baseColWidth="10" defaultRowHeight="15" x14ac:dyDescent="0.25"/>
  <cols>
    <col min="1" max="1" width="37.5703125" customWidth="1"/>
    <col min="2" max="2" width="22.42578125" customWidth="1"/>
    <col min="3" max="3" width="15.5703125" bestFit="1" customWidth="1"/>
    <col min="4" max="4" width="18.85546875" bestFit="1" customWidth="1"/>
    <col min="5" max="5" width="18.28515625" customWidth="1"/>
    <col min="6" max="6" width="15.140625" customWidth="1"/>
    <col min="7" max="7" width="4.28515625" customWidth="1"/>
    <col min="8" max="8" width="6.42578125" customWidth="1"/>
    <col min="9" max="9" width="13.5703125" customWidth="1"/>
    <col min="10" max="10" width="14.85546875" customWidth="1"/>
    <col min="11" max="11" width="18.140625" customWidth="1"/>
    <col min="13" max="13" width="17.5703125" customWidth="1"/>
    <col min="14" max="14" width="5.28515625" customWidth="1"/>
    <col min="15" max="15" width="14.42578125" hidden="1" customWidth="1"/>
    <col min="16" max="16" width="11.42578125" hidden="1" customWidth="1"/>
    <col min="17" max="17" width="37.42578125" style="109" customWidth="1"/>
    <col min="18" max="19" width="12.140625" style="109" customWidth="1"/>
    <col min="20" max="20" width="13.42578125" style="109" customWidth="1"/>
    <col min="21" max="21" width="13.42578125" customWidth="1"/>
    <col min="22" max="23" width="0" hidden="1" customWidth="1"/>
    <col min="24" max="24" width="12" hidden="1" customWidth="1"/>
    <col min="25" max="25" width="0" hidden="1" customWidth="1"/>
  </cols>
  <sheetData>
    <row r="6" spans="1:21" x14ac:dyDescent="0.25">
      <c r="I6" s="4" t="s">
        <v>33</v>
      </c>
      <c r="J6" t="s">
        <v>25</v>
      </c>
    </row>
    <row r="7" spans="1:21" x14ac:dyDescent="0.25">
      <c r="I7" s="4" t="s">
        <v>62</v>
      </c>
      <c r="J7" t="s">
        <v>27</v>
      </c>
    </row>
    <row r="8" spans="1:21" x14ac:dyDescent="0.25">
      <c r="I8" s="4" t="s">
        <v>61</v>
      </c>
      <c r="J8" t="s">
        <v>84</v>
      </c>
    </row>
    <row r="10" spans="1:21" x14ac:dyDescent="0.25">
      <c r="J10" s="34" t="s">
        <v>55</v>
      </c>
      <c r="K10" s="35">
        <v>201</v>
      </c>
      <c r="L10" s="6" t="s">
        <v>53</v>
      </c>
    </row>
    <row r="12" spans="1:21" ht="18.75" x14ac:dyDescent="0.3">
      <c r="B12" s="30" t="s">
        <v>0</v>
      </c>
      <c r="C12" s="30" t="s">
        <v>2</v>
      </c>
      <c r="D12" s="30" t="s">
        <v>9</v>
      </c>
      <c r="I12" s="8"/>
      <c r="J12" s="101" t="s">
        <v>12</v>
      </c>
      <c r="K12" s="101"/>
      <c r="L12" s="9" t="s">
        <v>10</v>
      </c>
      <c r="M12" s="10" t="s">
        <v>24</v>
      </c>
      <c r="Q12" s="110" t="s">
        <v>60</v>
      </c>
      <c r="R12" s="111"/>
      <c r="S12" s="111"/>
      <c r="T12" s="112"/>
      <c r="U12" s="105"/>
    </row>
    <row r="13" spans="1:21" x14ac:dyDescent="0.25">
      <c r="B13" s="6" t="s">
        <v>31</v>
      </c>
      <c r="C13" s="6" t="s">
        <v>31</v>
      </c>
      <c r="D13" s="6" t="s">
        <v>32</v>
      </c>
      <c r="I13" s="11" t="s">
        <v>11</v>
      </c>
      <c r="J13" s="7" t="s">
        <v>26</v>
      </c>
      <c r="K13" s="7" t="s">
        <v>23</v>
      </c>
      <c r="L13" s="7" t="s">
        <v>22</v>
      </c>
      <c r="M13" s="12" t="s">
        <v>1</v>
      </c>
      <c r="U13" s="105"/>
    </row>
    <row r="14" spans="1:21" x14ac:dyDescent="0.25">
      <c r="A14" s="3" t="s">
        <v>56</v>
      </c>
      <c r="B14" s="32" t="s">
        <v>4</v>
      </c>
      <c r="C14" s="32" t="s">
        <v>3</v>
      </c>
      <c r="I14" s="13">
        <v>2026</v>
      </c>
      <c r="J14" s="14">
        <v>55</v>
      </c>
      <c r="K14" s="15">
        <f>$K$10*J14/1000000</f>
        <v>1.1055000000000001E-2</v>
      </c>
      <c r="L14" s="16">
        <v>0</v>
      </c>
      <c r="M14" s="17">
        <f t="shared" ref="M14:M33" si="0">$C$16*(100-L14)/100+K14+L14*$D$16/100</f>
        <v>0.111055</v>
      </c>
      <c r="Q14" s="113"/>
      <c r="R14" s="114" t="s">
        <v>54</v>
      </c>
      <c r="S14" s="114" t="s">
        <v>19</v>
      </c>
      <c r="T14" s="115" t="s">
        <v>9</v>
      </c>
      <c r="U14" s="105"/>
    </row>
    <row r="15" spans="1:21" x14ac:dyDescent="0.25">
      <c r="I15" s="18">
        <v>2027</v>
      </c>
      <c r="J15" s="19">
        <v>55</v>
      </c>
      <c r="K15" s="20">
        <f>$K$10*J15/1000000</f>
        <v>1.1055000000000001E-2</v>
      </c>
      <c r="L15" s="21">
        <v>0</v>
      </c>
      <c r="M15" s="22">
        <f t="shared" si="0"/>
        <v>0.111055</v>
      </c>
      <c r="Q15" s="116"/>
      <c r="R15" s="117"/>
      <c r="S15" s="117"/>
      <c r="T15" s="118"/>
      <c r="U15" s="105"/>
    </row>
    <row r="16" spans="1:21" x14ac:dyDescent="0.25">
      <c r="A16" s="3" t="s">
        <v>34</v>
      </c>
      <c r="B16" s="28">
        <v>0.24</v>
      </c>
      <c r="C16" s="28">
        <v>0.1</v>
      </c>
      <c r="D16" s="37">
        <v>0.15</v>
      </c>
      <c r="I16" s="13">
        <v>2028</v>
      </c>
      <c r="J16" s="14">
        <v>65</v>
      </c>
      <c r="K16" s="15">
        <f>$K$10*J16/1000000</f>
        <v>1.3065E-2</v>
      </c>
      <c r="L16" s="16">
        <v>0</v>
      </c>
      <c r="M16" s="17">
        <f t="shared" si="0"/>
        <v>0.113065</v>
      </c>
      <c r="O16" t="s">
        <v>28</v>
      </c>
      <c r="Q16" s="119" t="s">
        <v>34</v>
      </c>
      <c r="R16" s="127">
        <v>0.24</v>
      </c>
      <c r="S16" s="127">
        <v>0.1</v>
      </c>
      <c r="T16" s="128">
        <v>0.15</v>
      </c>
      <c r="U16" s="106"/>
    </row>
    <row r="17" spans="1:25" x14ac:dyDescent="0.25">
      <c r="A17" s="3" t="s">
        <v>35</v>
      </c>
      <c r="B17" s="29">
        <v>140</v>
      </c>
      <c r="C17" s="29">
        <v>178</v>
      </c>
      <c r="D17" s="5" t="s">
        <v>30</v>
      </c>
      <c r="I17" s="18">
        <v>2029</v>
      </c>
      <c r="J17" s="19">
        <v>70</v>
      </c>
      <c r="K17" s="20">
        <f>$K$10*J17/1000000</f>
        <v>1.4069999999999999E-2</v>
      </c>
      <c r="L17" s="21">
        <v>10</v>
      </c>
      <c r="M17" s="22">
        <f t="shared" si="0"/>
        <v>0.11907</v>
      </c>
      <c r="O17" s="2">
        <v>30</v>
      </c>
      <c r="Q17" s="119" t="s">
        <v>35</v>
      </c>
      <c r="R17" s="129">
        <v>140</v>
      </c>
      <c r="S17" s="129">
        <v>178</v>
      </c>
      <c r="T17" s="130" t="s">
        <v>30</v>
      </c>
      <c r="U17" s="106"/>
      <c r="V17" t="s">
        <v>71</v>
      </c>
      <c r="W17" t="s">
        <v>77</v>
      </c>
    </row>
    <row r="18" spans="1:25" x14ac:dyDescent="0.25">
      <c r="A18" s="3"/>
      <c r="E18" s="3" t="s">
        <v>66</v>
      </c>
      <c r="F18" s="91">
        <v>46640</v>
      </c>
      <c r="I18" s="13">
        <v>2030</v>
      </c>
      <c r="J18" s="14">
        <v>75</v>
      </c>
      <c r="K18" s="15">
        <f t="shared" ref="K18:K33" si="1">$K$10*(100-L18)/100*J18/1000000</f>
        <v>1.281375E-2</v>
      </c>
      <c r="L18" s="16">
        <v>15</v>
      </c>
      <c r="M18" s="17">
        <f t="shared" si="0"/>
        <v>0.12031375</v>
      </c>
      <c r="O18" s="2">
        <v>35</v>
      </c>
      <c r="Q18" s="119"/>
      <c r="R18" s="117"/>
      <c r="S18" s="117"/>
      <c r="T18" s="118"/>
      <c r="U18" s="31"/>
      <c r="V18" t="s">
        <v>69</v>
      </c>
      <c r="W18">
        <f>IF($F$20=$V$18,10000,0)</f>
        <v>0</v>
      </c>
      <c r="X18" s="1">
        <f>F19-W18</f>
        <v>38000</v>
      </c>
    </row>
    <row r="19" spans="1:25" x14ac:dyDescent="0.25">
      <c r="A19" s="3" t="s">
        <v>36</v>
      </c>
      <c r="B19" s="96">
        <v>35000</v>
      </c>
      <c r="C19" s="29">
        <v>10000</v>
      </c>
      <c r="E19" s="3" t="s">
        <v>67</v>
      </c>
      <c r="F19" s="95">
        <v>38000</v>
      </c>
      <c r="I19" s="18">
        <v>2031</v>
      </c>
      <c r="J19" s="19">
        <v>90</v>
      </c>
      <c r="K19" s="20">
        <f t="shared" si="1"/>
        <v>1.53765E-2</v>
      </c>
      <c r="L19" s="21">
        <v>15</v>
      </c>
      <c r="M19" s="22">
        <f t="shared" si="0"/>
        <v>0.1228765</v>
      </c>
      <c r="O19" s="2">
        <v>50</v>
      </c>
      <c r="Q19" s="119" t="s">
        <v>36</v>
      </c>
      <c r="R19" s="129">
        <v>35000</v>
      </c>
      <c r="S19" s="129">
        <v>10000</v>
      </c>
      <c r="T19" s="118"/>
      <c r="U19" s="107"/>
      <c r="V19" t="s">
        <v>70</v>
      </c>
    </row>
    <row r="20" spans="1:25" x14ac:dyDescent="0.25">
      <c r="A20" s="36" t="s">
        <v>63</v>
      </c>
      <c r="B20" s="97">
        <f>MIN(80,30+Y44+Y36)</f>
        <v>68</v>
      </c>
      <c r="E20" s="3" t="s">
        <v>68</v>
      </c>
      <c r="F20" s="92" t="s">
        <v>70</v>
      </c>
      <c r="I20" s="13">
        <v>2032</v>
      </c>
      <c r="J20" s="14">
        <v>103</v>
      </c>
      <c r="K20" s="15">
        <f t="shared" si="1"/>
        <v>1.759755E-2</v>
      </c>
      <c r="L20" s="16">
        <v>15</v>
      </c>
      <c r="M20" s="17">
        <f t="shared" si="0"/>
        <v>0.12509755</v>
      </c>
      <c r="O20" s="2">
        <v>55</v>
      </c>
      <c r="Q20" s="119" t="s">
        <v>63</v>
      </c>
      <c r="R20" s="131">
        <v>68</v>
      </c>
      <c r="S20" s="117"/>
      <c r="T20" s="118"/>
      <c r="U20" s="108"/>
    </row>
    <row r="21" spans="1:25" x14ac:dyDescent="0.25">
      <c r="A21" s="99" t="s">
        <v>64</v>
      </c>
      <c r="B21" s="100">
        <f>F21*B20%</f>
        <v>18020</v>
      </c>
      <c r="C21" s="1">
        <v>0</v>
      </c>
      <c r="E21" s="36" t="s">
        <v>78</v>
      </c>
      <c r="F21" s="98">
        <f>Y22</f>
        <v>26500</v>
      </c>
      <c r="I21" s="18">
        <v>2033</v>
      </c>
      <c r="J21" s="19">
        <v>111</v>
      </c>
      <c r="K21" s="20">
        <f t="shared" si="1"/>
        <v>1.8964349999999998E-2</v>
      </c>
      <c r="L21" s="21">
        <v>15</v>
      </c>
      <c r="M21" s="22">
        <f t="shared" si="0"/>
        <v>0.12646435</v>
      </c>
      <c r="O21" s="2">
        <v>65</v>
      </c>
      <c r="Q21" s="119" t="s">
        <v>64</v>
      </c>
      <c r="R21" s="129">
        <v>18020</v>
      </c>
      <c r="S21" s="129">
        <v>0</v>
      </c>
      <c r="T21" s="118"/>
      <c r="U21" s="108"/>
      <c r="V21" t="s">
        <v>72</v>
      </c>
      <c r="Y21" t="s">
        <v>76</v>
      </c>
    </row>
    <row r="22" spans="1:25" x14ac:dyDescent="0.25">
      <c r="A22" s="3" t="s">
        <v>65</v>
      </c>
      <c r="B22" s="1">
        <f>B19-B21</f>
        <v>16980</v>
      </c>
      <c r="C22" s="1">
        <f>C19-C21</f>
        <v>10000</v>
      </c>
      <c r="E22" s="36" t="s">
        <v>79</v>
      </c>
      <c r="F22" s="2">
        <f>Y44</f>
        <v>30</v>
      </c>
      <c r="I22" s="13">
        <v>2034</v>
      </c>
      <c r="J22" s="14">
        <v>119</v>
      </c>
      <c r="K22" s="15">
        <f t="shared" si="1"/>
        <v>2.0331149999999999E-2</v>
      </c>
      <c r="L22" s="16">
        <v>15</v>
      </c>
      <c r="M22" s="17">
        <f t="shared" si="0"/>
        <v>0.12783115</v>
      </c>
      <c r="O22" s="2">
        <v>70</v>
      </c>
      <c r="Q22" s="119" t="s">
        <v>37</v>
      </c>
      <c r="R22" s="129">
        <f>R19-R21</f>
        <v>16980</v>
      </c>
      <c r="S22" s="129">
        <f>S19-S21</f>
        <v>10000</v>
      </c>
      <c r="T22" s="118"/>
      <c r="U22" s="108"/>
      <c r="V22" s="93">
        <v>46224</v>
      </c>
      <c r="W22">
        <v>28000</v>
      </c>
      <c r="X22">
        <v>750</v>
      </c>
      <c r="Y22" s="94">
        <f>VLOOKUP($F$18,$V$22:$W$32,2)</f>
        <v>26500</v>
      </c>
    </row>
    <row r="23" spans="1:25" x14ac:dyDescent="0.25">
      <c r="A23" s="3" t="s">
        <v>38</v>
      </c>
      <c r="B23" s="29">
        <v>250</v>
      </c>
      <c r="C23" s="29">
        <v>300</v>
      </c>
      <c r="E23" s="36" t="s">
        <v>80</v>
      </c>
      <c r="F23" s="2">
        <f>Y36</f>
        <v>8</v>
      </c>
      <c r="I23" s="18">
        <v>2035</v>
      </c>
      <c r="J23" s="19">
        <v>127</v>
      </c>
      <c r="K23" s="20">
        <f t="shared" si="1"/>
        <v>1.7868899999999997E-2</v>
      </c>
      <c r="L23" s="21">
        <v>30</v>
      </c>
      <c r="M23" s="22">
        <f t="shared" si="0"/>
        <v>0.13286890000000001</v>
      </c>
      <c r="Q23" s="119" t="s">
        <v>38</v>
      </c>
      <c r="R23" s="129">
        <v>250</v>
      </c>
      <c r="S23" s="129">
        <v>300</v>
      </c>
      <c r="T23" s="118"/>
      <c r="U23" s="108"/>
      <c r="V23" s="93">
        <v>46419</v>
      </c>
      <c r="W23">
        <f>W22-$X$22</f>
        <v>27250</v>
      </c>
    </row>
    <row r="24" spans="1:25" x14ac:dyDescent="0.25">
      <c r="A24" s="3" t="s">
        <v>39</v>
      </c>
      <c r="B24" s="29">
        <v>30</v>
      </c>
      <c r="C24" s="29">
        <v>30</v>
      </c>
      <c r="E24" s="36" t="s">
        <v>81</v>
      </c>
      <c r="F24" s="2">
        <v>30</v>
      </c>
      <c r="I24" s="13">
        <v>2036</v>
      </c>
      <c r="J24" s="14">
        <v>135</v>
      </c>
      <c r="K24" s="15">
        <f t="shared" si="1"/>
        <v>1.8994500000000001E-2</v>
      </c>
      <c r="L24" s="16">
        <v>30</v>
      </c>
      <c r="M24" s="17">
        <f t="shared" si="0"/>
        <v>0.13399450000000002</v>
      </c>
      <c r="Q24" s="120" t="s">
        <v>39</v>
      </c>
      <c r="R24" s="132">
        <v>30</v>
      </c>
      <c r="S24" s="132">
        <v>30</v>
      </c>
      <c r="T24" s="133"/>
      <c r="U24" s="108"/>
      <c r="V24" s="93">
        <v>46600</v>
      </c>
      <c r="W24">
        <f t="shared" ref="W24:W32" si="2">W23-$X$22</f>
        <v>26500</v>
      </c>
    </row>
    <row r="25" spans="1:25" ht="15.75" thickBot="1" x14ac:dyDescent="0.3">
      <c r="A25" s="3"/>
      <c r="I25" s="18">
        <v>2037</v>
      </c>
      <c r="J25" s="19">
        <v>143</v>
      </c>
      <c r="K25" s="20">
        <f t="shared" si="1"/>
        <v>2.0120099999999998E-2</v>
      </c>
      <c r="L25" s="21">
        <v>30</v>
      </c>
      <c r="M25" s="22">
        <f t="shared" si="0"/>
        <v>0.13512010000000002</v>
      </c>
      <c r="O25" s="2">
        <v>0</v>
      </c>
      <c r="P25" t="s">
        <v>46</v>
      </c>
      <c r="Q25" s="121" t="s">
        <v>83</v>
      </c>
      <c r="R25" s="122"/>
      <c r="S25" s="122"/>
      <c r="T25" s="123"/>
      <c r="U25" s="108"/>
      <c r="V25" s="93">
        <v>46784</v>
      </c>
      <c r="W25">
        <f t="shared" si="2"/>
        <v>25750</v>
      </c>
    </row>
    <row r="26" spans="1:25" ht="16.5" thickTop="1" thickBot="1" x14ac:dyDescent="0.3">
      <c r="A26" s="3"/>
      <c r="B26" s="45" t="s">
        <v>52</v>
      </c>
      <c r="C26" s="46" t="s">
        <v>5</v>
      </c>
      <c r="D26" s="47" t="s">
        <v>6</v>
      </c>
      <c r="E26" s="47" t="s">
        <v>7</v>
      </c>
      <c r="I26" s="13">
        <v>2038</v>
      </c>
      <c r="J26" s="14">
        <v>151</v>
      </c>
      <c r="K26" s="15">
        <f t="shared" si="1"/>
        <v>2.1245699999999996E-2</v>
      </c>
      <c r="L26" s="16">
        <v>30</v>
      </c>
      <c r="M26" s="17">
        <f t="shared" si="0"/>
        <v>0.1362457</v>
      </c>
      <c r="O26" s="2">
        <v>30.00001</v>
      </c>
      <c r="P26" t="s">
        <v>47</v>
      </c>
      <c r="Q26" s="124" t="s">
        <v>82</v>
      </c>
      <c r="R26" s="125"/>
      <c r="S26" s="125"/>
      <c r="T26" s="126"/>
      <c r="U26" s="108"/>
      <c r="V26" s="93">
        <v>46966</v>
      </c>
      <c r="W26">
        <f t="shared" si="2"/>
        <v>25000</v>
      </c>
    </row>
    <row r="27" spans="1:25" x14ac:dyDescent="0.25">
      <c r="A27" s="3"/>
      <c r="B27" s="38"/>
      <c r="C27" s="48" t="s">
        <v>18</v>
      </c>
      <c r="D27" s="49" t="s">
        <v>16</v>
      </c>
      <c r="E27" s="49" t="s">
        <v>17</v>
      </c>
      <c r="I27" s="18">
        <v>2039</v>
      </c>
      <c r="J27" s="19">
        <v>159</v>
      </c>
      <c r="K27" s="20">
        <f t="shared" si="1"/>
        <v>2.23713E-2</v>
      </c>
      <c r="L27" s="21">
        <v>30</v>
      </c>
      <c r="M27" s="22">
        <f t="shared" si="0"/>
        <v>0.1373713</v>
      </c>
      <c r="O27" s="2">
        <v>50.000010000000003</v>
      </c>
      <c r="P27" t="s">
        <v>15</v>
      </c>
      <c r="V27" s="93">
        <v>47150</v>
      </c>
      <c r="W27">
        <f t="shared" si="2"/>
        <v>24250</v>
      </c>
    </row>
    <row r="28" spans="1:25" x14ac:dyDescent="0.25">
      <c r="A28" s="3" t="s">
        <v>40</v>
      </c>
      <c r="B28" s="39">
        <v>120</v>
      </c>
      <c r="C28" s="50">
        <v>120</v>
      </c>
      <c r="D28" s="51">
        <v>120</v>
      </c>
      <c r="E28" s="51">
        <v>120</v>
      </c>
      <c r="I28" s="13">
        <v>2040</v>
      </c>
      <c r="J28" s="14">
        <v>167</v>
      </c>
      <c r="K28" s="15">
        <f t="shared" si="1"/>
        <v>1.3426800000000001E-2</v>
      </c>
      <c r="L28" s="16">
        <v>60</v>
      </c>
      <c r="M28" s="17">
        <f t="shared" si="0"/>
        <v>0.14342679999999999</v>
      </c>
      <c r="O28" s="2">
        <v>75.000010000000003</v>
      </c>
      <c r="P28" t="s">
        <v>14</v>
      </c>
      <c r="V28" s="93">
        <v>47331</v>
      </c>
      <c r="W28">
        <f t="shared" si="2"/>
        <v>23500</v>
      </c>
    </row>
    <row r="29" spans="1:25" x14ac:dyDescent="0.25">
      <c r="A29" s="3" t="s">
        <v>41</v>
      </c>
      <c r="B29" s="40">
        <v>160</v>
      </c>
      <c r="C29" s="52">
        <v>160</v>
      </c>
      <c r="D29" s="53">
        <v>100</v>
      </c>
      <c r="E29" s="53">
        <v>75</v>
      </c>
      <c r="I29" s="18">
        <v>2041</v>
      </c>
      <c r="J29" s="19">
        <v>175</v>
      </c>
      <c r="K29" s="20">
        <f t="shared" si="1"/>
        <v>1.4070000000000003E-2</v>
      </c>
      <c r="L29" s="21">
        <v>60</v>
      </c>
      <c r="M29" s="22">
        <f t="shared" si="0"/>
        <v>0.14407</v>
      </c>
      <c r="O29" s="2">
        <v>100.00001</v>
      </c>
      <c r="P29" t="s">
        <v>48</v>
      </c>
      <c r="V29" s="93">
        <v>10990</v>
      </c>
      <c r="W29">
        <f t="shared" si="2"/>
        <v>22750</v>
      </c>
    </row>
    <row r="30" spans="1:25" x14ac:dyDescent="0.25">
      <c r="A30" s="3" t="s">
        <v>42</v>
      </c>
      <c r="B30" s="41" t="str">
        <f>VLOOKUP(B29,$O$25:$P$33,2,TRUE)</f>
        <v>E</v>
      </c>
      <c r="C30" s="54" t="str">
        <f>VLOOKUP(C29,$O$25:$P$33,2,TRUE)</f>
        <v>E</v>
      </c>
      <c r="D30" s="55" t="str">
        <f>VLOOKUP(D29,$O$25:$P$33,2,TRUE)</f>
        <v>C</v>
      </c>
      <c r="E30" s="55" t="str">
        <f>VLOOKUP(E29,$O$25:$P$33,2,TRUE)</f>
        <v>B</v>
      </c>
      <c r="I30" s="13">
        <v>2042</v>
      </c>
      <c r="J30" s="14">
        <v>183</v>
      </c>
      <c r="K30" s="15">
        <f t="shared" si="1"/>
        <v>1.4713200000000001E-2</v>
      </c>
      <c r="L30" s="16">
        <v>60</v>
      </c>
      <c r="M30" s="17">
        <f t="shared" si="0"/>
        <v>0.14471319999999999</v>
      </c>
      <c r="O30" s="2">
        <v>130.00001</v>
      </c>
      <c r="P30" t="s">
        <v>13</v>
      </c>
      <c r="V30" s="93">
        <v>11171</v>
      </c>
      <c r="W30">
        <f t="shared" si="2"/>
        <v>22000</v>
      </c>
    </row>
    <row r="31" spans="1:25" x14ac:dyDescent="0.25">
      <c r="A31" s="3" t="s">
        <v>43</v>
      </c>
      <c r="B31" s="42">
        <f>B28*B29</f>
        <v>19200</v>
      </c>
      <c r="C31" s="56">
        <f>C28*C29</f>
        <v>19200</v>
      </c>
      <c r="D31" s="57">
        <f>D28*D29</f>
        <v>12000</v>
      </c>
      <c r="E31" s="57">
        <f>E28*E29</f>
        <v>9000</v>
      </c>
      <c r="I31" s="18">
        <v>2043</v>
      </c>
      <c r="J31" s="19">
        <v>191</v>
      </c>
      <c r="K31" s="20">
        <f t="shared" si="1"/>
        <v>1.5356400000000001E-2</v>
      </c>
      <c r="L31" s="21">
        <v>60</v>
      </c>
      <c r="M31" s="22">
        <f t="shared" si="0"/>
        <v>0.1453564</v>
      </c>
      <c r="O31" s="2">
        <v>160.00001</v>
      </c>
      <c r="P31" t="s">
        <v>49</v>
      </c>
      <c r="V31" s="93">
        <v>11355</v>
      </c>
      <c r="W31">
        <f t="shared" si="2"/>
        <v>21250</v>
      </c>
    </row>
    <row r="32" spans="1:25" x14ac:dyDescent="0.25">
      <c r="A32" s="3" t="s">
        <v>44</v>
      </c>
      <c r="B32" s="43">
        <v>2.7</v>
      </c>
      <c r="C32" s="58">
        <v>2.7</v>
      </c>
      <c r="D32" s="59">
        <v>3.2</v>
      </c>
      <c r="E32" s="59">
        <v>3.6</v>
      </c>
      <c r="I32" s="13">
        <v>2044</v>
      </c>
      <c r="J32" s="14">
        <v>199</v>
      </c>
      <c r="K32" s="15">
        <f t="shared" si="1"/>
        <v>1.5999599999999999E-2</v>
      </c>
      <c r="L32" s="16">
        <v>60</v>
      </c>
      <c r="M32" s="17">
        <f t="shared" si="0"/>
        <v>0.14599960000000001</v>
      </c>
      <c r="O32" s="2">
        <v>200.00001</v>
      </c>
      <c r="P32" t="s">
        <v>50</v>
      </c>
      <c r="V32" s="93">
        <v>11536</v>
      </c>
      <c r="W32">
        <f t="shared" si="2"/>
        <v>20500</v>
      </c>
    </row>
    <row r="33" spans="1:25" ht="15.75" thickBot="1" x14ac:dyDescent="0.3">
      <c r="A33" s="3" t="s">
        <v>45</v>
      </c>
      <c r="B33" s="44">
        <f>B31/B32</f>
        <v>7111.1111111111104</v>
      </c>
      <c r="C33" s="60">
        <f>C31/C32</f>
        <v>7111.1111111111104</v>
      </c>
      <c r="D33" s="61">
        <f>D31/D32</f>
        <v>3750</v>
      </c>
      <c r="E33" s="61">
        <f>E31/E32</f>
        <v>2500</v>
      </c>
      <c r="I33" s="23">
        <v>2045</v>
      </c>
      <c r="J33" s="24">
        <v>207</v>
      </c>
      <c r="K33" s="25">
        <f t="shared" si="1"/>
        <v>1.6642800000000003E-2</v>
      </c>
      <c r="L33" s="26">
        <v>60</v>
      </c>
      <c r="M33" s="27">
        <f t="shared" si="0"/>
        <v>0.14664280000000002</v>
      </c>
      <c r="O33" s="2">
        <v>200.00002000000001</v>
      </c>
      <c r="P33" t="s">
        <v>51</v>
      </c>
    </row>
    <row r="34" spans="1:25" ht="16.5" thickTop="1" thickBot="1" x14ac:dyDescent="0.3"/>
    <row r="35" spans="1:25" ht="19.5" thickBot="1" x14ac:dyDescent="0.35">
      <c r="A35" s="62"/>
      <c r="B35" s="63" t="str">
        <f>"Testhaus - Gebäudeeffizienzklasse "&amp;TEXT(B30,0)&amp;" - "&amp;TEXT(B29,"0")&amp;" kWh/qm a - Kosten über 20 Jahre"</f>
        <v>Testhaus - Gebäudeeffizienzklasse E - 160 kWh/qm a - Kosten über 20 Jahre</v>
      </c>
      <c r="C35" s="64"/>
      <c r="D35" s="64"/>
      <c r="E35" s="64"/>
      <c r="F35" s="65"/>
      <c r="V35" t="s">
        <v>73</v>
      </c>
      <c r="Y35" t="s">
        <v>75</v>
      </c>
    </row>
    <row r="36" spans="1:25" x14ac:dyDescent="0.25">
      <c r="A36" s="66"/>
      <c r="B36" s="67"/>
      <c r="C36" s="102" t="s">
        <v>20</v>
      </c>
      <c r="D36" s="103"/>
      <c r="E36" s="102" t="s">
        <v>29</v>
      </c>
      <c r="F36" s="104"/>
      <c r="V36" s="93">
        <v>46224</v>
      </c>
      <c r="W36">
        <v>16</v>
      </c>
      <c r="X36">
        <v>4</v>
      </c>
      <c r="Y36" s="94">
        <f>VLOOKUP($F$18,$V$36:$W$40,2)</f>
        <v>8</v>
      </c>
    </row>
    <row r="37" spans="1:25" ht="15.75" thickBot="1" x14ac:dyDescent="0.3">
      <c r="A37" s="75" t="s">
        <v>21</v>
      </c>
      <c r="B37" s="76" t="s">
        <v>11</v>
      </c>
      <c r="C37" s="79" t="s">
        <v>8</v>
      </c>
      <c r="D37" s="77" t="s">
        <v>19</v>
      </c>
      <c r="E37" s="79" t="s">
        <v>8</v>
      </c>
      <c r="F37" s="78" t="s">
        <v>19</v>
      </c>
      <c r="V37" s="93">
        <v>46419</v>
      </c>
      <c r="W37">
        <f>W36-$X$36</f>
        <v>12</v>
      </c>
    </row>
    <row r="38" spans="1:25" x14ac:dyDescent="0.25">
      <c r="A38" s="68">
        <v>1</v>
      </c>
      <c r="B38" s="33">
        <v>2026</v>
      </c>
      <c r="C38" s="82">
        <f t="shared" ref="C38:C57" si="3">$B$33*$B$16+$B$23+$B$24+$B$17</f>
        <v>2126.6666666666665</v>
      </c>
      <c r="D38" s="83">
        <f t="shared" ref="D38:D57" si="4">$B$31*M14+$C$17+$C$23+$C$24</f>
        <v>2640.2559999999999</v>
      </c>
      <c r="E38" s="82">
        <f>C38+$B$22</f>
        <v>19106.666666666668</v>
      </c>
      <c r="F38" s="86">
        <f>D38+$C$22</f>
        <v>12640.255999999999</v>
      </c>
      <c r="V38" s="93">
        <v>46600</v>
      </c>
      <c r="W38">
        <f t="shared" ref="W38:W40" si="5">W37-$X$36</f>
        <v>8</v>
      </c>
    </row>
    <row r="39" spans="1:25" x14ac:dyDescent="0.25">
      <c r="A39" s="68">
        <v>2</v>
      </c>
      <c r="B39" s="33">
        <v>2027</v>
      </c>
      <c r="C39" s="82">
        <f t="shared" si="3"/>
        <v>2126.6666666666665</v>
      </c>
      <c r="D39" s="83">
        <f t="shared" si="4"/>
        <v>2640.2559999999999</v>
      </c>
      <c r="E39" s="82">
        <f>E38+C39</f>
        <v>21233.333333333336</v>
      </c>
      <c r="F39" s="86">
        <f>F38+D39</f>
        <v>15280.511999999999</v>
      </c>
      <c r="V39" s="93">
        <v>46784</v>
      </c>
      <c r="W39">
        <f t="shared" si="5"/>
        <v>4</v>
      </c>
    </row>
    <row r="40" spans="1:25" x14ac:dyDescent="0.25">
      <c r="A40" s="68">
        <v>3</v>
      </c>
      <c r="B40" s="33">
        <v>2028</v>
      </c>
      <c r="C40" s="82">
        <f t="shared" si="3"/>
        <v>2126.6666666666665</v>
      </c>
      <c r="D40" s="83">
        <f t="shared" si="4"/>
        <v>2678.848</v>
      </c>
      <c r="E40" s="82">
        <f t="shared" ref="E40:E57" si="6">E39+C40</f>
        <v>23360.000000000004</v>
      </c>
      <c r="F40" s="86">
        <f t="shared" ref="F40:F57" si="7">F39+D40</f>
        <v>17959.36</v>
      </c>
      <c r="V40" s="93">
        <v>46966</v>
      </c>
      <c r="W40">
        <f t="shared" si="5"/>
        <v>0</v>
      </c>
    </row>
    <row r="41" spans="1:25" x14ac:dyDescent="0.25">
      <c r="A41" s="68">
        <v>4</v>
      </c>
      <c r="B41" s="33">
        <v>2029</v>
      </c>
      <c r="C41" s="82">
        <f t="shared" si="3"/>
        <v>2126.6666666666665</v>
      </c>
      <c r="D41" s="83">
        <f t="shared" si="4"/>
        <v>2794.1439999999998</v>
      </c>
      <c r="E41" s="82">
        <f t="shared" si="6"/>
        <v>25486.666666666672</v>
      </c>
      <c r="F41" s="86">
        <f t="shared" si="7"/>
        <v>20753.504000000001</v>
      </c>
    </row>
    <row r="42" spans="1:25" x14ac:dyDescent="0.25">
      <c r="A42" s="68">
        <v>5</v>
      </c>
      <c r="B42" s="33">
        <v>2030</v>
      </c>
      <c r="C42" s="82">
        <f t="shared" si="3"/>
        <v>2126.6666666666665</v>
      </c>
      <c r="D42" s="83">
        <f t="shared" si="4"/>
        <v>2818.0239999999999</v>
      </c>
      <c r="E42" s="82">
        <f t="shared" si="6"/>
        <v>27613.333333333339</v>
      </c>
      <c r="F42" s="86">
        <f t="shared" si="7"/>
        <v>23571.528000000002</v>
      </c>
    </row>
    <row r="43" spans="1:25" x14ac:dyDescent="0.25">
      <c r="A43" s="68">
        <v>6</v>
      </c>
      <c r="B43" s="33">
        <v>2031</v>
      </c>
      <c r="C43" s="82">
        <f t="shared" si="3"/>
        <v>2126.6666666666665</v>
      </c>
      <c r="D43" s="83">
        <f t="shared" si="4"/>
        <v>2867.2287999999999</v>
      </c>
      <c r="E43" s="82">
        <f t="shared" si="6"/>
        <v>29740.000000000007</v>
      </c>
      <c r="F43" s="86">
        <f t="shared" si="7"/>
        <v>26438.756800000003</v>
      </c>
      <c r="V43" t="s">
        <v>74</v>
      </c>
      <c r="Y43" t="s">
        <v>75</v>
      </c>
    </row>
    <row r="44" spans="1:25" x14ac:dyDescent="0.25">
      <c r="A44" s="68">
        <v>7</v>
      </c>
      <c r="B44" s="33">
        <v>2032</v>
      </c>
      <c r="C44" s="82">
        <f t="shared" si="3"/>
        <v>2126.6666666666665</v>
      </c>
      <c r="D44" s="83">
        <f t="shared" si="4"/>
        <v>2909.8729600000001</v>
      </c>
      <c r="E44" s="82">
        <f t="shared" si="6"/>
        <v>31866.666666666675</v>
      </c>
      <c r="F44" s="86">
        <f t="shared" si="7"/>
        <v>29348.629760000003</v>
      </c>
      <c r="V44">
        <v>0</v>
      </c>
      <c r="W44">
        <v>40</v>
      </c>
      <c r="Y44" s="94">
        <f>VLOOKUP($X$18,V44:W47,2)</f>
        <v>30</v>
      </c>
    </row>
    <row r="45" spans="1:25" x14ac:dyDescent="0.25">
      <c r="A45" s="68">
        <v>8</v>
      </c>
      <c r="B45" s="33">
        <v>2033</v>
      </c>
      <c r="C45" s="82">
        <f t="shared" si="3"/>
        <v>2126.6666666666665</v>
      </c>
      <c r="D45" s="83">
        <f t="shared" si="4"/>
        <v>2936.1155200000003</v>
      </c>
      <c r="E45" s="82">
        <f t="shared" si="6"/>
        <v>33993.333333333343</v>
      </c>
      <c r="F45" s="86">
        <f t="shared" si="7"/>
        <v>32284.745280000003</v>
      </c>
      <c r="V45">
        <v>30000</v>
      </c>
      <c r="W45">
        <v>30</v>
      </c>
    </row>
    <row r="46" spans="1:25" x14ac:dyDescent="0.25">
      <c r="A46" s="68">
        <v>9</v>
      </c>
      <c r="B46" s="33">
        <v>2034</v>
      </c>
      <c r="C46" s="82">
        <f t="shared" si="3"/>
        <v>2126.6666666666665</v>
      </c>
      <c r="D46" s="83">
        <f t="shared" si="4"/>
        <v>2962.35808</v>
      </c>
      <c r="E46" s="82">
        <f t="shared" si="6"/>
        <v>36120.000000000007</v>
      </c>
      <c r="F46" s="86">
        <f t="shared" si="7"/>
        <v>35247.103360000001</v>
      </c>
      <c r="V46">
        <v>40000</v>
      </c>
      <c r="W46">
        <v>10</v>
      </c>
    </row>
    <row r="47" spans="1:25" x14ac:dyDescent="0.25">
      <c r="A47" s="68">
        <v>10</v>
      </c>
      <c r="B47" s="33">
        <v>2035</v>
      </c>
      <c r="C47" s="82">
        <f t="shared" si="3"/>
        <v>2126.6666666666665</v>
      </c>
      <c r="D47" s="83">
        <f t="shared" si="4"/>
        <v>3059.0828800000004</v>
      </c>
      <c r="E47" s="82">
        <f t="shared" si="6"/>
        <v>38246.666666666672</v>
      </c>
      <c r="F47" s="86">
        <f t="shared" si="7"/>
        <v>38306.186240000003</v>
      </c>
      <c r="V47">
        <v>50000</v>
      </c>
      <c r="W47">
        <v>0</v>
      </c>
    </row>
    <row r="48" spans="1:25" x14ac:dyDescent="0.25">
      <c r="A48" s="68">
        <v>11</v>
      </c>
      <c r="B48" s="33">
        <v>2036</v>
      </c>
      <c r="C48" s="82">
        <f t="shared" si="3"/>
        <v>2126.6666666666665</v>
      </c>
      <c r="D48" s="83">
        <f t="shared" si="4"/>
        <v>3080.6944000000003</v>
      </c>
      <c r="E48" s="82">
        <f t="shared" si="6"/>
        <v>40373.333333333336</v>
      </c>
      <c r="F48" s="86">
        <f t="shared" si="7"/>
        <v>41386.880640000003</v>
      </c>
    </row>
    <row r="49" spans="1:6" x14ac:dyDescent="0.25">
      <c r="A49" s="68">
        <v>12</v>
      </c>
      <c r="B49" s="33">
        <v>2037</v>
      </c>
      <c r="C49" s="82">
        <f t="shared" si="3"/>
        <v>2126.6666666666665</v>
      </c>
      <c r="D49" s="83">
        <f t="shared" si="4"/>
        <v>3102.3059200000002</v>
      </c>
      <c r="E49" s="82">
        <f t="shared" si="6"/>
        <v>42500</v>
      </c>
      <c r="F49" s="86">
        <f t="shared" si="7"/>
        <v>44489.186560000002</v>
      </c>
    </row>
    <row r="50" spans="1:6" x14ac:dyDescent="0.25">
      <c r="A50" s="68">
        <v>13</v>
      </c>
      <c r="B50" s="33">
        <v>2038</v>
      </c>
      <c r="C50" s="82">
        <f t="shared" si="3"/>
        <v>2126.6666666666665</v>
      </c>
      <c r="D50" s="83">
        <f t="shared" si="4"/>
        <v>3123.9174400000002</v>
      </c>
      <c r="E50" s="82">
        <f t="shared" si="6"/>
        <v>44626.666666666664</v>
      </c>
      <c r="F50" s="86">
        <f t="shared" si="7"/>
        <v>47613.103999999999</v>
      </c>
    </row>
    <row r="51" spans="1:6" x14ac:dyDescent="0.25">
      <c r="A51" s="68">
        <v>14</v>
      </c>
      <c r="B51" s="33">
        <v>2039</v>
      </c>
      <c r="C51" s="82">
        <f t="shared" si="3"/>
        <v>2126.6666666666665</v>
      </c>
      <c r="D51" s="83">
        <f t="shared" si="4"/>
        <v>3145.5289600000001</v>
      </c>
      <c r="E51" s="82">
        <f t="shared" si="6"/>
        <v>46753.333333333328</v>
      </c>
      <c r="F51" s="86">
        <f t="shared" si="7"/>
        <v>50758.632960000003</v>
      </c>
    </row>
    <row r="52" spans="1:6" x14ac:dyDescent="0.25">
      <c r="A52" s="68">
        <v>15</v>
      </c>
      <c r="B52" s="33">
        <v>2040</v>
      </c>
      <c r="C52" s="82">
        <f t="shared" si="3"/>
        <v>2126.6666666666665</v>
      </c>
      <c r="D52" s="83">
        <f t="shared" si="4"/>
        <v>3261.7945599999998</v>
      </c>
      <c r="E52" s="82">
        <f t="shared" si="6"/>
        <v>48879.999999999993</v>
      </c>
      <c r="F52" s="86">
        <f t="shared" si="7"/>
        <v>54020.427520000005</v>
      </c>
    </row>
    <row r="53" spans="1:6" x14ac:dyDescent="0.25">
      <c r="A53" s="68">
        <v>16</v>
      </c>
      <c r="B53" s="33">
        <v>2041</v>
      </c>
      <c r="C53" s="82">
        <f t="shared" si="3"/>
        <v>2126.6666666666665</v>
      </c>
      <c r="D53" s="83">
        <f t="shared" si="4"/>
        <v>3274.1440000000002</v>
      </c>
      <c r="E53" s="82">
        <f t="shared" si="6"/>
        <v>51006.666666666657</v>
      </c>
      <c r="F53" s="86">
        <f t="shared" si="7"/>
        <v>57294.571520000005</v>
      </c>
    </row>
    <row r="54" spans="1:6" x14ac:dyDescent="0.25">
      <c r="A54" s="68">
        <v>17</v>
      </c>
      <c r="B54" s="33">
        <v>2042</v>
      </c>
      <c r="C54" s="82">
        <f t="shared" si="3"/>
        <v>2126.6666666666665</v>
      </c>
      <c r="D54" s="83">
        <f t="shared" si="4"/>
        <v>3286.4934399999997</v>
      </c>
      <c r="E54" s="82">
        <f t="shared" si="6"/>
        <v>53133.333333333321</v>
      </c>
      <c r="F54" s="86">
        <f t="shared" si="7"/>
        <v>60581.064960000003</v>
      </c>
    </row>
    <row r="55" spans="1:6" x14ac:dyDescent="0.25">
      <c r="A55" s="68">
        <v>18</v>
      </c>
      <c r="B55" s="33">
        <v>2043</v>
      </c>
      <c r="C55" s="82">
        <f t="shared" si="3"/>
        <v>2126.6666666666665</v>
      </c>
      <c r="D55" s="83">
        <f t="shared" si="4"/>
        <v>3298.8428800000002</v>
      </c>
      <c r="E55" s="82">
        <f t="shared" si="6"/>
        <v>55259.999999999985</v>
      </c>
      <c r="F55" s="86">
        <f t="shared" si="7"/>
        <v>63879.90784</v>
      </c>
    </row>
    <row r="56" spans="1:6" x14ac:dyDescent="0.25">
      <c r="A56" s="68">
        <v>19</v>
      </c>
      <c r="B56" s="33">
        <v>2044</v>
      </c>
      <c r="C56" s="82">
        <f t="shared" si="3"/>
        <v>2126.6666666666665</v>
      </c>
      <c r="D56" s="83">
        <f t="shared" si="4"/>
        <v>3311.1923200000001</v>
      </c>
      <c r="E56" s="82">
        <f t="shared" si="6"/>
        <v>57386.66666666665</v>
      </c>
      <c r="F56" s="86">
        <f t="shared" si="7"/>
        <v>67191.100160000002</v>
      </c>
    </row>
    <row r="57" spans="1:6" ht="15.75" thickBot="1" x14ac:dyDescent="0.3">
      <c r="A57" s="71">
        <v>20</v>
      </c>
      <c r="B57" s="72">
        <v>2045</v>
      </c>
      <c r="C57" s="84">
        <f t="shared" si="3"/>
        <v>2126.6666666666665</v>
      </c>
      <c r="D57" s="85">
        <f t="shared" si="4"/>
        <v>3323.5417600000005</v>
      </c>
      <c r="E57" s="84">
        <f t="shared" si="6"/>
        <v>59513.333333333314</v>
      </c>
      <c r="F57" s="87">
        <f t="shared" si="7"/>
        <v>70514.641920000009</v>
      </c>
    </row>
    <row r="59" spans="1:6" ht="15.75" thickBot="1" x14ac:dyDescent="0.3"/>
    <row r="60" spans="1:6" ht="19.5" thickBot="1" x14ac:dyDescent="0.35">
      <c r="A60" s="88" t="s">
        <v>57</v>
      </c>
      <c r="B60" s="64"/>
      <c r="C60" s="64"/>
      <c r="D60" s="64"/>
      <c r="E60" s="64"/>
      <c r="F60" s="65"/>
    </row>
    <row r="61" spans="1:6" x14ac:dyDescent="0.25">
      <c r="A61" s="66"/>
      <c r="B61" s="67"/>
      <c r="C61" s="102" t="s">
        <v>20</v>
      </c>
      <c r="D61" s="103"/>
      <c r="E61" s="102" t="s">
        <v>29</v>
      </c>
      <c r="F61" s="104"/>
    </row>
    <row r="62" spans="1:6" ht="15.75" thickBot="1" x14ac:dyDescent="0.3">
      <c r="A62" s="75" t="s">
        <v>21</v>
      </c>
      <c r="B62" s="76" t="s">
        <v>11</v>
      </c>
      <c r="C62" s="79" t="s">
        <v>8</v>
      </c>
      <c r="D62" s="77" t="s">
        <v>19</v>
      </c>
      <c r="E62" s="79" t="s">
        <v>8</v>
      </c>
      <c r="F62" s="78" t="s">
        <v>19</v>
      </c>
    </row>
    <row r="63" spans="1:6" x14ac:dyDescent="0.25">
      <c r="A63" s="68">
        <v>1</v>
      </c>
      <c r="B63" s="33">
        <v>2025</v>
      </c>
      <c r="C63" s="80">
        <f t="shared" ref="C63:C82" si="8">$C$33*$R$16+$R$23+$R$24+$R$17</f>
        <v>2126.6666666666665</v>
      </c>
      <c r="D63" s="69">
        <f t="shared" ref="D63:D82" si="9">$C$31*M14+$S$17+$S$23+$S$24</f>
        <v>2640.2559999999999</v>
      </c>
      <c r="E63" s="80">
        <f>C63+$R$22</f>
        <v>19106.666666666668</v>
      </c>
      <c r="F63" s="70">
        <f>D63+$S$22</f>
        <v>12640.255999999999</v>
      </c>
    </row>
    <row r="64" spans="1:6" x14ac:dyDescent="0.25">
      <c r="A64" s="68">
        <v>2</v>
      </c>
      <c r="B64" s="33">
        <v>2026</v>
      </c>
      <c r="C64" s="80">
        <f t="shared" si="8"/>
        <v>2126.6666666666665</v>
      </c>
      <c r="D64" s="69">
        <f t="shared" si="9"/>
        <v>2640.2559999999999</v>
      </c>
      <c r="E64" s="80">
        <f>E63+C64</f>
        <v>21233.333333333336</v>
      </c>
      <c r="F64" s="70">
        <f>F63+D64</f>
        <v>15280.511999999999</v>
      </c>
    </row>
    <row r="65" spans="1:6" x14ac:dyDescent="0.25">
      <c r="A65" s="68">
        <v>3</v>
      </c>
      <c r="B65" s="33">
        <v>2027</v>
      </c>
      <c r="C65" s="80">
        <f t="shared" si="8"/>
        <v>2126.6666666666665</v>
      </c>
      <c r="D65" s="69">
        <f t="shared" si="9"/>
        <v>2678.848</v>
      </c>
      <c r="E65" s="80">
        <f t="shared" ref="E65:E82" si="10">E64+C65</f>
        <v>23360.000000000004</v>
      </c>
      <c r="F65" s="70">
        <f t="shared" ref="F65:F82" si="11">F64+D65</f>
        <v>17959.36</v>
      </c>
    </row>
    <row r="66" spans="1:6" x14ac:dyDescent="0.25">
      <c r="A66" s="68">
        <v>4</v>
      </c>
      <c r="B66" s="33">
        <v>2028</v>
      </c>
      <c r="C66" s="80">
        <f t="shared" si="8"/>
        <v>2126.6666666666665</v>
      </c>
      <c r="D66" s="69">
        <f t="shared" si="9"/>
        <v>2794.1439999999998</v>
      </c>
      <c r="E66" s="80">
        <f t="shared" si="10"/>
        <v>25486.666666666672</v>
      </c>
      <c r="F66" s="70">
        <f t="shared" si="11"/>
        <v>20753.504000000001</v>
      </c>
    </row>
    <row r="67" spans="1:6" x14ac:dyDescent="0.25">
      <c r="A67" s="68">
        <v>5</v>
      </c>
      <c r="B67" s="33">
        <v>2029</v>
      </c>
      <c r="C67" s="80">
        <f t="shared" si="8"/>
        <v>2126.6666666666665</v>
      </c>
      <c r="D67" s="69">
        <f t="shared" si="9"/>
        <v>2818.0239999999999</v>
      </c>
      <c r="E67" s="80">
        <f t="shared" si="10"/>
        <v>27613.333333333339</v>
      </c>
      <c r="F67" s="70">
        <f t="shared" si="11"/>
        <v>23571.528000000002</v>
      </c>
    </row>
    <row r="68" spans="1:6" x14ac:dyDescent="0.25">
      <c r="A68" s="68">
        <v>6</v>
      </c>
      <c r="B68" s="33">
        <v>2030</v>
      </c>
      <c r="C68" s="80">
        <f t="shared" si="8"/>
        <v>2126.6666666666665</v>
      </c>
      <c r="D68" s="69">
        <f t="shared" si="9"/>
        <v>2867.2287999999999</v>
      </c>
      <c r="E68" s="80">
        <f t="shared" si="10"/>
        <v>29740.000000000007</v>
      </c>
      <c r="F68" s="70">
        <f t="shared" si="11"/>
        <v>26438.756800000003</v>
      </c>
    </row>
    <row r="69" spans="1:6" x14ac:dyDescent="0.25">
      <c r="A69" s="68">
        <v>7</v>
      </c>
      <c r="B69" s="33">
        <v>2031</v>
      </c>
      <c r="C69" s="80">
        <f t="shared" si="8"/>
        <v>2126.6666666666665</v>
      </c>
      <c r="D69" s="69">
        <f t="shared" si="9"/>
        <v>2909.8729600000001</v>
      </c>
      <c r="E69" s="80">
        <f t="shared" si="10"/>
        <v>31866.666666666675</v>
      </c>
      <c r="F69" s="70">
        <f t="shared" si="11"/>
        <v>29348.629760000003</v>
      </c>
    </row>
    <row r="70" spans="1:6" x14ac:dyDescent="0.25">
      <c r="A70" s="68">
        <v>8</v>
      </c>
      <c r="B70" s="33">
        <v>2032</v>
      </c>
      <c r="C70" s="80">
        <f t="shared" si="8"/>
        <v>2126.6666666666665</v>
      </c>
      <c r="D70" s="69">
        <f t="shared" si="9"/>
        <v>2936.1155200000003</v>
      </c>
      <c r="E70" s="80">
        <f t="shared" si="10"/>
        <v>33993.333333333343</v>
      </c>
      <c r="F70" s="70">
        <f t="shared" si="11"/>
        <v>32284.745280000003</v>
      </c>
    </row>
    <row r="71" spans="1:6" x14ac:dyDescent="0.25">
      <c r="A71" s="68">
        <v>9</v>
      </c>
      <c r="B71" s="33">
        <v>2033</v>
      </c>
      <c r="C71" s="80">
        <f t="shared" si="8"/>
        <v>2126.6666666666665</v>
      </c>
      <c r="D71" s="69">
        <f t="shared" si="9"/>
        <v>2962.35808</v>
      </c>
      <c r="E71" s="80">
        <f t="shared" si="10"/>
        <v>36120.000000000007</v>
      </c>
      <c r="F71" s="70">
        <f t="shared" si="11"/>
        <v>35247.103360000001</v>
      </c>
    </row>
    <row r="72" spans="1:6" x14ac:dyDescent="0.25">
      <c r="A72" s="68">
        <v>10</v>
      </c>
      <c r="B72" s="33">
        <v>2034</v>
      </c>
      <c r="C72" s="80">
        <f t="shared" si="8"/>
        <v>2126.6666666666665</v>
      </c>
      <c r="D72" s="69">
        <f t="shared" si="9"/>
        <v>3059.0828800000004</v>
      </c>
      <c r="E72" s="80">
        <f t="shared" si="10"/>
        <v>38246.666666666672</v>
      </c>
      <c r="F72" s="70">
        <f t="shared" si="11"/>
        <v>38306.186240000003</v>
      </c>
    </row>
    <row r="73" spans="1:6" x14ac:dyDescent="0.25">
      <c r="A73" s="68">
        <v>11</v>
      </c>
      <c r="B73" s="33">
        <v>2035</v>
      </c>
      <c r="C73" s="80">
        <f t="shared" si="8"/>
        <v>2126.6666666666665</v>
      </c>
      <c r="D73" s="69">
        <f t="shared" si="9"/>
        <v>3080.6944000000003</v>
      </c>
      <c r="E73" s="80">
        <f t="shared" si="10"/>
        <v>40373.333333333336</v>
      </c>
      <c r="F73" s="70">
        <f t="shared" si="11"/>
        <v>41386.880640000003</v>
      </c>
    </row>
    <row r="74" spans="1:6" x14ac:dyDescent="0.25">
      <c r="A74" s="68">
        <v>12</v>
      </c>
      <c r="B74" s="33">
        <v>2036</v>
      </c>
      <c r="C74" s="80">
        <f t="shared" si="8"/>
        <v>2126.6666666666665</v>
      </c>
      <c r="D74" s="69">
        <f t="shared" si="9"/>
        <v>3102.3059200000002</v>
      </c>
      <c r="E74" s="80">
        <f t="shared" si="10"/>
        <v>42500</v>
      </c>
      <c r="F74" s="70">
        <f t="shared" si="11"/>
        <v>44489.186560000002</v>
      </c>
    </row>
    <row r="75" spans="1:6" x14ac:dyDescent="0.25">
      <c r="A75" s="68">
        <v>13</v>
      </c>
      <c r="B75" s="33">
        <v>2037</v>
      </c>
      <c r="C75" s="80">
        <f t="shared" si="8"/>
        <v>2126.6666666666665</v>
      </c>
      <c r="D75" s="69">
        <f t="shared" si="9"/>
        <v>3123.9174400000002</v>
      </c>
      <c r="E75" s="80">
        <f t="shared" si="10"/>
        <v>44626.666666666664</v>
      </c>
      <c r="F75" s="70">
        <f t="shared" si="11"/>
        <v>47613.103999999999</v>
      </c>
    </row>
    <row r="76" spans="1:6" x14ac:dyDescent="0.25">
      <c r="A76" s="68">
        <v>14</v>
      </c>
      <c r="B76" s="33">
        <v>2038</v>
      </c>
      <c r="C76" s="80">
        <f t="shared" si="8"/>
        <v>2126.6666666666665</v>
      </c>
      <c r="D76" s="69">
        <f t="shared" si="9"/>
        <v>3145.5289600000001</v>
      </c>
      <c r="E76" s="80">
        <f t="shared" si="10"/>
        <v>46753.333333333328</v>
      </c>
      <c r="F76" s="70">
        <f t="shared" si="11"/>
        <v>50758.632960000003</v>
      </c>
    </row>
    <row r="77" spans="1:6" x14ac:dyDescent="0.25">
      <c r="A77" s="68">
        <v>15</v>
      </c>
      <c r="B77" s="33">
        <v>2039</v>
      </c>
      <c r="C77" s="80">
        <f t="shared" si="8"/>
        <v>2126.6666666666665</v>
      </c>
      <c r="D77" s="69">
        <f t="shared" si="9"/>
        <v>3261.7945599999998</v>
      </c>
      <c r="E77" s="80">
        <f t="shared" si="10"/>
        <v>48879.999999999993</v>
      </c>
      <c r="F77" s="70">
        <f t="shared" si="11"/>
        <v>54020.427520000005</v>
      </c>
    </row>
    <row r="78" spans="1:6" x14ac:dyDescent="0.25">
      <c r="A78" s="68">
        <v>16</v>
      </c>
      <c r="B78" s="33">
        <v>2040</v>
      </c>
      <c r="C78" s="80">
        <f t="shared" si="8"/>
        <v>2126.6666666666665</v>
      </c>
      <c r="D78" s="69">
        <f t="shared" si="9"/>
        <v>3274.1440000000002</v>
      </c>
      <c r="E78" s="80">
        <f t="shared" si="10"/>
        <v>51006.666666666657</v>
      </c>
      <c r="F78" s="70">
        <f t="shared" si="11"/>
        <v>57294.571520000005</v>
      </c>
    </row>
    <row r="79" spans="1:6" x14ac:dyDescent="0.25">
      <c r="A79" s="68">
        <v>17</v>
      </c>
      <c r="B79" s="33">
        <v>2041</v>
      </c>
      <c r="C79" s="80">
        <f t="shared" si="8"/>
        <v>2126.6666666666665</v>
      </c>
      <c r="D79" s="69">
        <f t="shared" si="9"/>
        <v>3286.4934399999997</v>
      </c>
      <c r="E79" s="80">
        <f t="shared" si="10"/>
        <v>53133.333333333321</v>
      </c>
      <c r="F79" s="70">
        <f t="shared" si="11"/>
        <v>60581.064960000003</v>
      </c>
    </row>
    <row r="80" spans="1:6" x14ac:dyDescent="0.25">
      <c r="A80" s="68">
        <v>18</v>
      </c>
      <c r="B80" s="33">
        <v>2042</v>
      </c>
      <c r="C80" s="80">
        <f t="shared" si="8"/>
        <v>2126.6666666666665</v>
      </c>
      <c r="D80" s="69">
        <f t="shared" si="9"/>
        <v>3298.8428800000002</v>
      </c>
      <c r="E80" s="80">
        <f t="shared" si="10"/>
        <v>55259.999999999985</v>
      </c>
      <c r="F80" s="70">
        <f t="shared" si="11"/>
        <v>63879.90784</v>
      </c>
    </row>
    <row r="81" spans="1:6" x14ac:dyDescent="0.25">
      <c r="A81" s="68">
        <v>19</v>
      </c>
      <c r="B81" s="33">
        <v>2043</v>
      </c>
      <c r="C81" s="80">
        <f t="shared" si="8"/>
        <v>2126.6666666666665</v>
      </c>
      <c r="D81" s="69">
        <f t="shared" si="9"/>
        <v>3311.1923200000001</v>
      </c>
      <c r="E81" s="80">
        <f t="shared" si="10"/>
        <v>57386.66666666665</v>
      </c>
      <c r="F81" s="70">
        <f t="shared" si="11"/>
        <v>67191.100160000002</v>
      </c>
    </row>
    <row r="82" spans="1:6" ht="15.75" thickBot="1" x14ac:dyDescent="0.3">
      <c r="A82" s="71">
        <v>20</v>
      </c>
      <c r="B82" s="72">
        <v>2044</v>
      </c>
      <c r="C82" s="81">
        <f t="shared" si="8"/>
        <v>2126.6666666666665</v>
      </c>
      <c r="D82" s="73">
        <f t="shared" si="9"/>
        <v>3323.5417600000005</v>
      </c>
      <c r="E82" s="81">
        <f t="shared" si="10"/>
        <v>59513.333333333314</v>
      </c>
      <c r="F82" s="74">
        <f t="shared" si="11"/>
        <v>70514.641920000009</v>
      </c>
    </row>
    <row r="84" spans="1:6" ht="15.75" thickBot="1" x14ac:dyDescent="0.3"/>
    <row r="85" spans="1:6" ht="19.5" thickBot="1" x14ac:dyDescent="0.35">
      <c r="A85" s="88" t="s">
        <v>58</v>
      </c>
      <c r="B85" s="64"/>
      <c r="C85" s="64"/>
      <c r="D85" s="64"/>
      <c r="E85" s="64"/>
      <c r="F85" s="65"/>
    </row>
    <row r="86" spans="1:6" x14ac:dyDescent="0.25">
      <c r="A86" s="89"/>
      <c r="B86" s="90"/>
      <c r="C86" s="102" t="s">
        <v>20</v>
      </c>
      <c r="D86" s="103"/>
      <c r="E86" s="102" t="s">
        <v>29</v>
      </c>
      <c r="F86" s="104"/>
    </row>
    <row r="87" spans="1:6" ht="15.75" thickBot="1" x14ac:dyDescent="0.3">
      <c r="A87" s="75" t="s">
        <v>21</v>
      </c>
      <c r="B87" s="76" t="s">
        <v>11</v>
      </c>
      <c r="C87" s="79" t="s">
        <v>8</v>
      </c>
      <c r="D87" s="77" t="s">
        <v>19</v>
      </c>
      <c r="E87" s="79" t="s">
        <v>8</v>
      </c>
      <c r="F87" s="78" t="s">
        <v>19</v>
      </c>
    </row>
    <row r="88" spans="1:6" x14ac:dyDescent="0.25">
      <c r="A88" s="68">
        <v>1</v>
      </c>
      <c r="B88" s="33">
        <v>2025</v>
      </c>
      <c r="C88" s="80">
        <f t="shared" ref="C88:C107" si="12">$D$33*$R$16+$R$23+$R$24+$R$17</f>
        <v>1320</v>
      </c>
      <c r="D88" s="69">
        <f t="shared" ref="D88:D107" si="13">$D$31*M14+$S$17+$S$23+$S$24</f>
        <v>1840.66</v>
      </c>
      <c r="E88" s="80">
        <f>C88+$R$22</f>
        <v>18300</v>
      </c>
      <c r="F88" s="70">
        <f>D88+$S$22</f>
        <v>11840.66</v>
      </c>
    </row>
    <row r="89" spans="1:6" x14ac:dyDescent="0.25">
      <c r="A89" s="68">
        <v>2</v>
      </c>
      <c r="B89" s="33">
        <v>2026</v>
      </c>
      <c r="C89" s="80">
        <f t="shared" si="12"/>
        <v>1320</v>
      </c>
      <c r="D89" s="69">
        <f t="shared" si="13"/>
        <v>1840.66</v>
      </c>
      <c r="E89" s="80">
        <f>E88+C89</f>
        <v>19620</v>
      </c>
      <c r="F89" s="70">
        <f>F88+D89</f>
        <v>13681.32</v>
      </c>
    </row>
    <row r="90" spans="1:6" x14ac:dyDescent="0.25">
      <c r="A90" s="68">
        <v>3</v>
      </c>
      <c r="B90" s="33">
        <v>2027</v>
      </c>
      <c r="C90" s="80">
        <f t="shared" si="12"/>
        <v>1320</v>
      </c>
      <c r="D90" s="69">
        <f t="shared" si="13"/>
        <v>1864.78</v>
      </c>
      <c r="E90" s="80">
        <f t="shared" ref="E90:E107" si="14">E89+C90</f>
        <v>20940</v>
      </c>
      <c r="F90" s="70">
        <f t="shared" ref="F90:F107" si="15">F89+D90</f>
        <v>15546.1</v>
      </c>
    </row>
    <row r="91" spans="1:6" x14ac:dyDescent="0.25">
      <c r="A91" s="68">
        <v>4</v>
      </c>
      <c r="B91" s="33">
        <v>2028</v>
      </c>
      <c r="C91" s="80">
        <f t="shared" si="12"/>
        <v>1320</v>
      </c>
      <c r="D91" s="69">
        <f t="shared" si="13"/>
        <v>1936.84</v>
      </c>
      <c r="E91" s="80">
        <f t="shared" si="14"/>
        <v>22260</v>
      </c>
      <c r="F91" s="70">
        <f t="shared" si="15"/>
        <v>17482.939999999999</v>
      </c>
    </row>
    <row r="92" spans="1:6" x14ac:dyDescent="0.25">
      <c r="A92" s="68">
        <v>5</v>
      </c>
      <c r="B92" s="33">
        <v>2029</v>
      </c>
      <c r="C92" s="80">
        <f t="shared" si="12"/>
        <v>1320</v>
      </c>
      <c r="D92" s="69">
        <f t="shared" si="13"/>
        <v>1951.7649999999999</v>
      </c>
      <c r="E92" s="80">
        <f t="shared" si="14"/>
        <v>23580</v>
      </c>
      <c r="F92" s="70">
        <f t="shared" si="15"/>
        <v>19434.704999999998</v>
      </c>
    </row>
    <row r="93" spans="1:6" x14ac:dyDescent="0.25">
      <c r="A93" s="68">
        <v>6</v>
      </c>
      <c r="B93" s="33">
        <v>2030</v>
      </c>
      <c r="C93" s="80">
        <f t="shared" si="12"/>
        <v>1320</v>
      </c>
      <c r="D93" s="69">
        <f t="shared" si="13"/>
        <v>1982.518</v>
      </c>
      <c r="E93" s="80">
        <f t="shared" si="14"/>
        <v>24900</v>
      </c>
      <c r="F93" s="70">
        <f t="shared" si="15"/>
        <v>21417.222999999998</v>
      </c>
    </row>
    <row r="94" spans="1:6" x14ac:dyDescent="0.25">
      <c r="A94" s="68">
        <v>7</v>
      </c>
      <c r="B94" s="33">
        <v>2031</v>
      </c>
      <c r="C94" s="80">
        <f t="shared" si="12"/>
        <v>1320</v>
      </c>
      <c r="D94" s="69">
        <f t="shared" si="13"/>
        <v>2009.1705999999999</v>
      </c>
      <c r="E94" s="80">
        <f t="shared" si="14"/>
        <v>26220</v>
      </c>
      <c r="F94" s="70">
        <f t="shared" si="15"/>
        <v>23426.393599999999</v>
      </c>
    </row>
    <row r="95" spans="1:6" x14ac:dyDescent="0.25">
      <c r="A95" s="68">
        <v>8</v>
      </c>
      <c r="B95" s="33">
        <v>2032</v>
      </c>
      <c r="C95" s="80">
        <f t="shared" si="12"/>
        <v>1320</v>
      </c>
      <c r="D95" s="69">
        <f t="shared" si="13"/>
        <v>2025.5722000000001</v>
      </c>
      <c r="E95" s="80">
        <f t="shared" si="14"/>
        <v>27540</v>
      </c>
      <c r="F95" s="70">
        <f t="shared" si="15"/>
        <v>25451.965799999998</v>
      </c>
    </row>
    <row r="96" spans="1:6" x14ac:dyDescent="0.25">
      <c r="A96" s="68">
        <v>9</v>
      </c>
      <c r="B96" s="33">
        <v>2033</v>
      </c>
      <c r="C96" s="80">
        <f t="shared" si="12"/>
        <v>1320</v>
      </c>
      <c r="D96" s="69">
        <f t="shared" si="13"/>
        <v>2041.9738</v>
      </c>
      <c r="E96" s="80">
        <f t="shared" si="14"/>
        <v>28860</v>
      </c>
      <c r="F96" s="70">
        <f t="shared" si="15"/>
        <v>27493.939599999998</v>
      </c>
    </row>
    <row r="97" spans="1:6" x14ac:dyDescent="0.25">
      <c r="A97" s="68">
        <v>10</v>
      </c>
      <c r="B97" s="33">
        <v>2034</v>
      </c>
      <c r="C97" s="80">
        <f t="shared" si="12"/>
        <v>1320</v>
      </c>
      <c r="D97" s="69">
        <f t="shared" si="13"/>
        <v>2102.4268000000002</v>
      </c>
      <c r="E97" s="80">
        <f t="shared" si="14"/>
        <v>30180</v>
      </c>
      <c r="F97" s="70">
        <f t="shared" si="15"/>
        <v>29596.366399999999</v>
      </c>
    </row>
    <row r="98" spans="1:6" x14ac:dyDescent="0.25">
      <c r="A98" s="68">
        <v>11</v>
      </c>
      <c r="B98" s="33">
        <v>2035</v>
      </c>
      <c r="C98" s="80">
        <f t="shared" si="12"/>
        <v>1320</v>
      </c>
      <c r="D98" s="69">
        <f t="shared" si="13"/>
        <v>2115.9340000000002</v>
      </c>
      <c r="E98" s="80">
        <f t="shared" si="14"/>
        <v>31500</v>
      </c>
      <c r="F98" s="70">
        <f t="shared" si="15"/>
        <v>31712.3004</v>
      </c>
    </row>
    <row r="99" spans="1:6" x14ac:dyDescent="0.25">
      <c r="A99" s="68">
        <v>12</v>
      </c>
      <c r="B99" s="33">
        <v>2036</v>
      </c>
      <c r="C99" s="80">
        <f t="shared" si="12"/>
        <v>1320</v>
      </c>
      <c r="D99" s="69">
        <f t="shared" si="13"/>
        <v>2129.4412000000002</v>
      </c>
      <c r="E99" s="80">
        <f t="shared" si="14"/>
        <v>32820</v>
      </c>
      <c r="F99" s="70">
        <f t="shared" si="15"/>
        <v>33841.741600000001</v>
      </c>
    </row>
    <row r="100" spans="1:6" x14ac:dyDescent="0.25">
      <c r="A100" s="68">
        <v>13</v>
      </c>
      <c r="B100" s="33">
        <v>2037</v>
      </c>
      <c r="C100" s="80">
        <f t="shared" si="12"/>
        <v>1320</v>
      </c>
      <c r="D100" s="69">
        <f t="shared" si="13"/>
        <v>2142.9484000000002</v>
      </c>
      <c r="E100" s="80">
        <f t="shared" si="14"/>
        <v>34140</v>
      </c>
      <c r="F100" s="70">
        <f t="shared" si="15"/>
        <v>35984.69</v>
      </c>
    </row>
    <row r="101" spans="1:6" x14ac:dyDescent="0.25">
      <c r="A101" s="68">
        <v>14</v>
      </c>
      <c r="B101" s="33">
        <v>2038</v>
      </c>
      <c r="C101" s="80">
        <f t="shared" si="12"/>
        <v>1320</v>
      </c>
      <c r="D101" s="69">
        <f t="shared" si="13"/>
        <v>2156.4556000000002</v>
      </c>
      <c r="E101" s="80">
        <f t="shared" si="14"/>
        <v>35460</v>
      </c>
      <c r="F101" s="70">
        <f t="shared" si="15"/>
        <v>38141.145600000003</v>
      </c>
    </row>
    <row r="102" spans="1:6" x14ac:dyDescent="0.25">
      <c r="A102" s="68">
        <v>15</v>
      </c>
      <c r="B102" s="33">
        <v>2039</v>
      </c>
      <c r="C102" s="80">
        <f t="shared" si="12"/>
        <v>1320</v>
      </c>
      <c r="D102" s="69">
        <f t="shared" si="13"/>
        <v>2229.1215999999999</v>
      </c>
      <c r="E102" s="80">
        <f t="shared" si="14"/>
        <v>36780</v>
      </c>
      <c r="F102" s="70">
        <f t="shared" si="15"/>
        <v>40370.267200000002</v>
      </c>
    </row>
    <row r="103" spans="1:6" x14ac:dyDescent="0.25">
      <c r="A103" s="68">
        <v>16</v>
      </c>
      <c r="B103" s="33">
        <v>2040</v>
      </c>
      <c r="C103" s="80">
        <f t="shared" si="12"/>
        <v>1320</v>
      </c>
      <c r="D103" s="69">
        <f t="shared" si="13"/>
        <v>2236.84</v>
      </c>
      <c r="E103" s="80">
        <f t="shared" si="14"/>
        <v>38100</v>
      </c>
      <c r="F103" s="70">
        <f t="shared" si="15"/>
        <v>42607.107199999999</v>
      </c>
    </row>
    <row r="104" spans="1:6" x14ac:dyDescent="0.25">
      <c r="A104" s="68">
        <v>17</v>
      </c>
      <c r="B104" s="33">
        <v>2041</v>
      </c>
      <c r="C104" s="80">
        <f t="shared" si="12"/>
        <v>1320</v>
      </c>
      <c r="D104" s="69">
        <f t="shared" si="13"/>
        <v>2244.5583999999999</v>
      </c>
      <c r="E104" s="80">
        <f t="shared" si="14"/>
        <v>39420</v>
      </c>
      <c r="F104" s="70">
        <f t="shared" si="15"/>
        <v>44851.6656</v>
      </c>
    </row>
    <row r="105" spans="1:6" x14ac:dyDescent="0.25">
      <c r="A105" s="68">
        <v>18</v>
      </c>
      <c r="B105" s="33">
        <v>2042</v>
      </c>
      <c r="C105" s="80">
        <f t="shared" si="12"/>
        <v>1320</v>
      </c>
      <c r="D105" s="69">
        <f t="shared" si="13"/>
        <v>2252.2767999999996</v>
      </c>
      <c r="E105" s="80">
        <f t="shared" si="14"/>
        <v>40740</v>
      </c>
      <c r="F105" s="70">
        <f t="shared" si="15"/>
        <v>47103.9424</v>
      </c>
    </row>
    <row r="106" spans="1:6" x14ac:dyDescent="0.25">
      <c r="A106" s="68">
        <v>19</v>
      </c>
      <c r="B106" s="33">
        <v>2043</v>
      </c>
      <c r="C106" s="80">
        <f t="shared" si="12"/>
        <v>1320</v>
      </c>
      <c r="D106" s="69">
        <f t="shared" si="13"/>
        <v>2259.9952000000003</v>
      </c>
      <c r="E106" s="80">
        <f t="shared" si="14"/>
        <v>42060</v>
      </c>
      <c r="F106" s="70">
        <f t="shared" si="15"/>
        <v>49363.937599999997</v>
      </c>
    </row>
    <row r="107" spans="1:6" ht="15.75" thickBot="1" x14ac:dyDescent="0.3">
      <c r="A107" s="71">
        <v>20</v>
      </c>
      <c r="B107" s="72">
        <v>2044</v>
      </c>
      <c r="C107" s="81">
        <f t="shared" si="12"/>
        <v>1320</v>
      </c>
      <c r="D107" s="73">
        <f t="shared" si="13"/>
        <v>2267.7136</v>
      </c>
      <c r="E107" s="81">
        <f t="shared" si="14"/>
        <v>43380</v>
      </c>
      <c r="F107" s="74">
        <f t="shared" si="15"/>
        <v>51631.6512</v>
      </c>
    </row>
    <row r="110" spans="1:6" ht="15.75" thickBot="1" x14ac:dyDescent="0.3"/>
    <row r="111" spans="1:6" ht="19.5" thickBot="1" x14ac:dyDescent="0.35">
      <c r="A111" s="88" t="s">
        <v>59</v>
      </c>
      <c r="B111" s="64"/>
      <c r="C111" s="64"/>
      <c r="D111" s="64"/>
      <c r="E111" s="64"/>
      <c r="F111" s="65"/>
    </row>
    <row r="112" spans="1:6" x14ac:dyDescent="0.25">
      <c r="A112" s="89"/>
      <c r="B112" s="90"/>
      <c r="C112" s="102" t="s">
        <v>20</v>
      </c>
      <c r="D112" s="103"/>
      <c r="E112" s="102" t="s">
        <v>29</v>
      </c>
      <c r="F112" s="104"/>
    </row>
    <row r="113" spans="1:6" ht="15.75" thickBot="1" x14ac:dyDescent="0.3">
      <c r="A113" s="75" t="s">
        <v>21</v>
      </c>
      <c r="B113" s="76" t="s">
        <v>11</v>
      </c>
      <c r="C113" s="79" t="s">
        <v>8</v>
      </c>
      <c r="D113" s="77" t="s">
        <v>19</v>
      </c>
      <c r="E113" s="79" t="s">
        <v>8</v>
      </c>
      <c r="F113" s="78" t="s">
        <v>19</v>
      </c>
    </row>
    <row r="114" spans="1:6" x14ac:dyDescent="0.25">
      <c r="A114" s="68">
        <v>1</v>
      </c>
      <c r="B114" s="33">
        <v>2025</v>
      </c>
      <c r="C114" s="80">
        <f t="shared" ref="C114:C133" si="16">$E$33*$R$16+$R$23+$R$24+$R$17</f>
        <v>1020</v>
      </c>
      <c r="D114" s="69">
        <f t="shared" ref="D114:D133" si="17">$E$31*M14+$S$17+$S$23+$S$24</f>
        <v>1507.4949999999999</v>
      </c>
      <c r="E114" s="80">
        <f>C114+$R$22</f>
        <v>18000</v>
      </c>
      <c r="F114" s="70">
        <f>D114+$S$22</f>
        <v>11507.494999999999</v>
      </c>
    </row>
    <row r="115" spans="1:6" x14ac:dyDescent="0.25">
      <c r="A115" s="68">
        <v>2</v>
      </c>
      <c r="B115" s="33">
        <v>2026</v>
      </c>
      <c r="C115" s="80">
        <f t="shared" si="16"/>
        <v>1020</v>
      </c>
      <c r="D115" s="69">
        <f t="shared" si="17"/>
        <v>1507.4949999999999</v>
      </c>
      <c r="E115" s="80">
        <f>E114+C115</f>
        <v>19020</v>
      </c>
      <c r="F115" s="70">
        <f>F114+D115</f>
        <v>13014.989999999998</v>
      </c>
    </row>
    <row r="116" spans="1:6" x14ac:dyDescent="0.25">
      <c r="A116" s="68">
        <v>3</v>
      </c>
      <c r="B116" s="33">
        <v>2027</v>
      </c>
      <c r="C116" s="80">
        <f t="shared" si="16"/>
        <v>1020</v>
      </c>
      <c r="D116" s="69">
        <f t="shared" si="17"/>
        <v>1525.585</v>
      </c>
      <c r="E116" s="80">
        <f t="shared" ref="E116:E133" si="18">E115+C116</f>
        <v>20040</v>
      </c>
      <c r="F116" s="70">
        <f t="shared" ref="F116:F133" si="19">F115+D116</f>
        <v>14540.574999999997</v>
      </c>
    </row>
    <row r="117" spans="1:6" x14ac:dyDescent="0.25">
      <c r="A117" s="68">
        <v>4</v>
      </c>
      <c r="B117" s="33">
        <v>2028</v>
      </c>
      <c r="C117" s="80">
        <f t="shared" si="16"/>
        <v>1020</v>
      </c>
      <c r="D117" s="69">
        <f t="shared" si="17"/>
        <v>1579.6299999999999</v>
      </c>
      <c r="E117" s="80">
        <f t="shared" si="18"/>
        <v>21060</v>
      </c>
      <c r="F117" s="70">
        <f t="shared" si="19"/>
        <v>16120.204999999996</v>
      </c>
    </row>
    <row r="118" spans="1:6" x14ac:dyDescent="0.25">
      <c r="A118" s="68">
        <v>5</v>
      </c>
      <c r="B118" s="33">
        <v>2029</v>
      </c>
      <c r="C118" s="80">
        <f t="shared" si="16"/>
        <v>1020</v>
      </c>
      <c r="D118" s="69">
        <f t="shared" si="17"/>
        <v>1590.82375</v>
      </c>
      <c r="E118" s="80">
        <f t="shared" si="18"/>
        <v>22080</v>
      </c>
      <c r="F118" s="70">
        <f t="shared" si="19"/>
        <v>17711.028749999998</v>
      </c>
    </row>
    <row r="119" spans="1:6" x14ac:dyDescent="0.25">
      <c r="A119" s="68">
        <v>6</v>
      </c>
      <c r="B119" s="33">
        <v>2030</v>
      </c>
      <c r="C119" s="80">
        <f t="shared" si="16"/>
        <v>1020</v>
      </c>
      <c r="D119" s="69">
        <f t="shared" si="17"/>
        <v>1613.8885</v>
      </c>
      <c r="E119" s="80">
        <f t="shared" si="18"/>
        <v>23100</v>
      </c>
      <c r="F119" s="70">
        <f t="shared" si="19"/>
        <v>19324.917249999999</v>
      </c>
    </row>
    <row r="120" spans="1:6" x14ac:dyDescent="0.25">
      <c r="A120" s="68">
        <v>7</v>
      </c>
      <c r="B120" s="33">
        <v>2031</v>
      </c>
      <c r="C120" s="80">
        <f t="shared" si="16"/>
        <v>1020</v>
      </c>
      <c r="D120" s="69">
        <f t="shared" si="17"/>
        <v>1633.8779500000001</v>
      </c>
      <c r="E120" s="80">
        <f t="shared" si="18"/>
        <v>24120</v>
      </c>
      <c r="F120" s="70">
        <f t="shared" si="19"/>
        <v>20958.7952</v>
      </c>
    </row>
    <row r="121" spans="1:6" x14ac:dyDescent="0.25">
      <c r="A121" s="68">
        <v>8</v>
      </c>
      <c r="B121" s="33">
        <v>2032</v>
      </c>
      <c r="C121" s="80">
        <f t="shared" si="16"/>
        <v>1020</v>
      </c>
      <c r="D121" s="69">
        <f t="shared" si="17"/>
        <v>1646.1791499999999</v>
      </c>
      <c r="E121" s="80">
        <f t="shared" si="18"/>
        <v>25140</v>
      </c>
      <c r="F121" s="70">
        <f t="shared" si="19"/>
        <v>22604.97435</v>
      </c>
    </row>
    <row r="122" spans="1:6" x14ac:dyDescent="0.25">
      <c r="A122" s="68">
        <v>9</v>
      </c>
      <c r="B122" s="33">
        <v>2033</v>
      </c>
      <c r="C122" s="80">
        <f t="shared" si="16"/>
        <v>1020</v>
      </c>
      <c r="D122" s="69">
        <f t="shared" si="17"/>
        <v>1658.48035</v>
      </c>
      <c r="E122" s="80">
        <f t="shared" si="18"/>
        <v>26160</v>
      </c>
      <c r="F122" s="70">
        <f t="shared" si="19"/>
        <v>24263.454700000002</v>
      </c>
    </row>
    <row r="123" spans="1:6" x14ac:dyDescent="0.25">
      <c r="A123" s="68">
        <v>10</v>
      </c>
      <c r="B123" s="33">
        <v>2034</v>
      </c>
      <c r="C123" s="80">
        <f t="shared" si="16"/>
        <v>1020</v>
      </c>
      <c r="D123" s="69">
        <f t="shared" si="17"/>
        <v>1703.8201000000001</v>
      </c>
      <c r="E123" s="80">
        <f t="shared" si="18"/>
        <v>27180</v>
      </c>
      <c r="F123" s="70">
        <f t="shared" si="19"/>
        <v>25967.274800000003</v>
      </c>
    </row>
    <row r="124" spans="1:6" x14ac:dyDescent="0.25">
      <c r="A124" s="68">
        <v>11</v>
      </c>
      <c r="B124" s="33">
        <v>2035</v>
      </c>
      <c r="C124" s="80">
        <f t="shared" si="16"/>
        <v>1020</v>
      </c>
      <c r="D124" s="69">
        <f t="shared" si="17"/>
        <v>1713.9505000000001</v>
      </c>
      <c r="E124" s="80">
        <f t="shared" si="18"/>
        <v>28200</v>
      </c>
      <c r="F124" s="70">
        <f t="shared" si="19"/>
        <v>27681.225300000002</v>
      </c>
    </row>
    <row r="125" spans="1:6" x14ac:dyDescent="0.25">
      <c r="A125" s="68">
        <v>12</v>
      </c>
      <c r="B125" s="33">
        <v>2036</v>
      </c>
      <c r="C125" s="80">
        <f t="shared" si="16"/>
        <v>1020</v>
      </c>
      <c r="D125" s="69">
        <f t="shared" si="17"/>
        <v>1724.0809000000002</v>
      </c>
      <c r="E125" s="80">
        <f t="shared" si="18"/>
        <v>29220</v>
      </c>
      <c r="F125" s="70">
        <f t="shared" si="19"/>
        <v>29405.306200000003</v>
      </c>
    </row>
    <row r="126" spans="1:6" x14ac:dyDescent="0.25">
      <c r="A126" s="68">
        <v>13</v>
      </c>
      <c r="B126" s="33">
        <v>2037</v>
      </c>
      <c r="C126" s="80">
        <f t="shared" si="16"/>
        <v>1020</v>
      </c>
      <c r="D126" s="69">
        <f t="shared" si="17"/>
        <v>1734.2112999999999</v>
      </c>
      <c r="E126" s="80">
        <f t="shared" si="18"/>
        <v>30240</v>
      </c>
      <c r="F126" s="70">
        <f t="shared" si="19"/>
        <v>31139.517500000002</v>
      </c>
    </row>
    <row r="127" spans="1:6" x14ac:dyDescent="0.25">
      <c r="A127" s="68">
        <v>14</v>
      </c>
      <c r="B127" s="33">
        <v>2038</v>
      </c>
      <c r="C127" s="80">
        <f t="shared" si="16"/>
        <v>1020</v>
      </c>
      <c r="D127" s="69">
        <f t="shared" si="17"/>
        <v>1744.3416999999999</v>
      </c>
      <c r="E127" s="80">
        <f t="shared" si="18"/>
        <v>31260</v>
      </c>
      <c r="F127" s="70">
        <f t="shared" si="19"/>
        <v>32883.859199999999</v>
      </c>
    </row>
    <row r="128" spans="1:6" x14ac:dyDescent="0.25">
      <c r="A128" s="68">
        <v>15</v>
      </c>
      <c r="B128" s="33">
        <v>2039</v>
      </c>
      <c r="C128" s="80">
        <f t="shared" si="16"/>
        <v>1020</v>
      </c>
      <c r="D128" s="69">
        <f t="shared" si="17"/>
        <v>1798.8411999999998</v>
      </c>
      <c r="E128" s="80">
        <f t="shared" si="18"/>
        <v>32280</v>
      </c>
      <c r="F128" s="70">
        <f t="shared" si="19"/>
        <v>34682.700400000002</v>
      </c>
    </row>
    <row r="129" spans="1:6" x14ac:dyDescent="0.25">
      <c r="A129" s="68">
        <v>16</v>
      </c>
      <c r="B129" s="33">
        <v>2040</v>
      </c>
      <c r="C129" s="80">
        <f t="shared" si="16"/>
        <v>1020</v>
      </c>
      <c r="D129" s="69">
        <f t="shared" si="17"/>
        <v>1804.63</v>
      </c>
      <c r="E129" s="80">
        <f t="shared" si="18"/>
        <v>33300</v>
      </c>
      <c r="F129" s="70">
        <f t="shared" si="19"/>
        <v>36487.330399999999</v>
      </c>
    </row>
    <row r="130" spans="1:6" x14ac:dyDescent="0.25">
      <c r="A130" s="68">
        <v>17</v>
      </c>
      <c r="B130" s="33">
        <v>2041</v>
      </c>
      <c r="C130" s="80">
        <f t="shared" si="16"/>
        <v>1020</v>
      </c>
      <c r="D130" s="69">
        <f t="shared" si="17"/>
        <v>1810.4187999999999</v>
      </c>
      <c r="E130" s="80">
        <f t="shared" si="18"/>
        <v>34320</v>
      </c>
      <c r="F130" s="70">
        <f t="shared" si="19"/>
        <v>38297.749199999998</v>
      </c>
    </row>
    <row r="131" spans="1:6" x14ac:dyDescent="0.25">
      <c r="A131" s="68">
        <v>18</v>
      </c>
      <c r="B131" s="33">
        <v>2042</v>
      </c>
      <c r="C131" s="80">
        <f t="shared" si="16"/>
        <v>1020</v>
      </c>
      <c r="D131" s="69">
        <f t="shared" si="17"/>
        <v>1816.2076</v>
      </c>
      <c r="E131" s="80">
        <f t="shared" si="18"/>
        <v>35340</v>
      </c>
      <c r="F131" s="70">
        <f t="shared" si="19"/>
        <v>40113.9568</v>
      </c>
    </row>
    <row r="132" spans="1:6" x14ac:dyDescent="0.25">
      <c r="A132" s="68">
        <v>19</v>
      </c>
      <c r="B132" s="33">
        <v>2043</v>
      </c>
      <c r="C132" s="80">
        <f t="shared" si="16"/>
        <v>1020</v>
      </c>
      <c r="D132" s="69">
        <f t="shared" si="17"/>
        <v>1821.9964</v>
      </c>
      <c r="E132" s="80">
        <f t="shared" si="18"/>
        <v>36360</v>
      </c>
      <c r="F132" s="70">
        <f t="shared" si="19"/>
        <v>41935.953200000004</v>
      </c>
    </row>
    <row r="133" spans="1:6" ht="15.75" thickBot="1" x14ac:dyDescent="0.3">
      <c r="A133" s="71">
        <v>20</v>
      </c>
      <c r="B133" s="72">
        <v>2044</v>
      </c>
      <c r="C133" s="81">
        <f t="shared" si="16"/>
        <v>1020</v>
      </c>
      <c r="D133" s="73">
        <f t="shared" si="17"/>
        <v>1827.7852000000003</v>
      </c>
      <c r="E133" s="81">
        <f t="shared" si="18"/>
        <v>37380</v>
      </c>
      <c r="F133" s="74">
        <f t="shared" si="19"/>
        <v>43763.738400000002</v>
      </c>
    </row>
  </sheetData>
  <sheetProtection algorithmName="SHA-512" hashValue="/sBas4wefmryml/viCr8sPPDTPFim7o/pxaTdjeaq6pyGE0kBtQZwrVsn0+QHS7VQ8kAqFs35eOCvSqU31GAHA==" saltValue="LWuO9OcOktezUGeY3orldQ==" spinCount="100000" sheet="1" objects="1" scenarios="1"/>
  <mergeCells count="11">
    <mergeCell ref="C112:D112"/>
    <mergeCell ref="E112:F112"/>
    <mergeCell ref="C36:D36"/>
    <mergeCell ref="E36:F36"/>
    <mergeCell ref="C61:D61"/>
    <mergeCell ref="E61:F61"/>
    <mergeCell ref="Q25:T25"/>
    <mergeCell ref="Q26:T26"/>
    <mergeCell ref="J12:K12"/>
    <mergeCell ref="C86:D86"/>
    <mergeCell ref="E86:F86"/>
  </mergeCells>
  <conditionalFormatting sqref="A63:F82 A88:F107 A114:F133">
    <cfRule type="expression" dxfId="1" priority="4">
      <formula>$F63&gt;$E63</formula>
    </cfRule>
  </conditionalFormatting>
  <conditionalFormatting sqref="A38:F57">
    <cfRule type="expression" dxfId="0" priority="1">
      <formula>$F38&gt;$E38</formula>
    </cfRule>
  </conditionalFormatting>
  <dataValidations count="9">
    <dataValidation type="decimal" allowBlank="1" showInputMessage="1" showErrorMessage="1" errorTitle="JAZ" error="erlaubt sind Dezimalwerte zwischen 1 und 5" sqref="B32">
      <formula1>1</formula1>
      <formula2>5</formula2>
    </dataValidation>
    <dataValidation type="decimal" allowBlank="1" showInputMessage="1" showErrorMessage="1" errorTitle="Werteinschränkung" error="Wert muss zwischen 0 und 1000 sein" sqref="B28">
      <formula1>0</formula1>
      <formula2>1000</formula2>
    </dataValidation>
    <dataValidation type="decimal" allowBlank="1" showInputMessage="1" showErrorMessage="1" errorTitle="Einschränkung" error="Wert muss zwischen 0 und 500 sein." sqref="B29">
      <formula1>0</formula1>
      <formula2>500</formula2>
    </dataValidation>
    <dataValidation allowBlank="1" showInputMessage="1" errorTitle="JAZ" error="erlaubt sind Dezimalwerte zwischen 1 und 5" sqref="C32:E32"/>
    <dataValidation allowBlank="1" showErrorMessage="1" errorTitle="Födersätze" error="zwischen Null und 80 sind erlaubt" sqref="B20"/>
    <dataValidation type="list" showInputMessage="1" showErrorMessage="1" errorTitle="Bitte auswählen" error="Nur &quot;ja&quot; oder &quot;nein&quot; erlaubt" sqref="F20">
      <formula1>$V$18:$V$19</formula1>
    </dataValidation>
    <dataValidation type="whole" allowBlank="1" showInputMessage="1" showErrorMessage="1" sqref="F19">
      <formula1>0</formula1>
      <formula2>1000000</formula2>
    </dataValidation>
    <dataValidation type="date" allowBlank="1" showInputMessage="1" showErrorMessage="1" errorTitle="Gültigkeit" error="Datum zwischen 21.07.2026 und 31.12.2031 möglich" sqref="F18">
      <formula1>46224</formula1>
      <formula2>48213</formula2>
    </dataValidation>
    <dataValidation allowBlank="1" showErrorMessage="1" errorTitle="Födersätze" sqref="Q14:T26"/>
  </dataValidations>
  <pageMargins left="0.7" right="0.7" top="0.78740157499999996" bottom="0.78740157499999996"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Kalkulation</vt:lpstr>
      <vt:lpstr>Kalkulation!Druckbereich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2025-10-05T19:32:40Z</dcterms:created>
  <dcterms:modified xsi:type="dcterms:W3CDTF">2026-07-24T13:50:49Z</dcterms:modified>
</cp:coreProperties>
</file>